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khaw\Downloads\"/>
    </mc:Choice>
  </mc:AlternateContent>
  <xr:revisionPtr revIDLastSave="0" documentId="11_B7C97C45B9E47B3ED6515E4984489FD17B354F4C" xr6:coauthVersionLast="47" xr6:coauthVersionMax="47" xr10:uidLastSave="{00000000-0000-0000-0000-000000000000}"/>
  <bookViews>
    <workbookView xWindow="-98" yWindow="-98" windowWidth="19396" windowHeight="11475" tabRatio="500" activeTab="14" xr2:uid="{00000000-000D-0000-FFFF-FFFF00000000}"/>
  </bookViews>
  <sheets>
    <sheet name="Start Here" sheetId="1" r:id="rId1"/>
    <sheet name="Command Center" sheetId="2" r:id="rId2"/>
    <sheet name="1. AI Systems" sheetId="3" r:id="rId3"/>
    <sheet name="2. Jurisdiction Atlas" sheetId="4" r:id="rId4"/>
    <sheet name="3. Navigator" sheetId="5" r:id="rId5"/>
    <sheet name="4. Crosswalk" sheetId="6" r:id="rId6"/>
    <sheet name="5. ISO AI Family" sheetId="7" r:id="rId7"/>
    <sheet name="6. Technical Controls" sheetId="8" r:id="rId8"/>
    <sheet name="7. Sector Overlays" sheetId="9" r:id="rId9"/>
    <sheet name="8. Checklist" sheetId="10" r:id="rId10"/>
    <sheet name="9. Gap Report" sheetId="11" r:id="rId11"/>
    <sheet name="10. Owner View" sheetId="12" r:id="rId12"/>
    <sheet name="11. Risk Register" sheetId="13" r:id="rId13"/>
    <sheet name="12. Impact Assessment" sheetId="14" r:id="rId14"/>
    <sheet name="13. Statement of Applicability" sheetId="15" r:id="rId15"/>
    <sheet name="14. Incident Log" sheetId="16" r:id="rId16"/>
    <sheet name="15. Vendor Register" sheetId="17" r:id="rId17"/>
    <sheet name="16. Training Records" sheetId="18" r:id="rId18"/>
    <sheet name="17. Model Cards" sheetId="19" r:id="rId19"/>
    <sheet name="18. RACI" sheetId="20" r:id="rId20"/>
    <sheet name="19. Evidence Register" sheetId="21" r:id="rId21"/>
    <sheet name="20. Maturity" sheetId="22" r:id="rId22"/>
    <sheet name="21. Board Pack" sheetId="23" r:id="rId23"/>
    <sheet name="22. Roadmap" sheetId="24" r:id="rId24"/>
    <sheet name="23. Glossary" sheetId="25" r:id="rId25"/>
    <sheet name="24. Config" sheetId="26" r:id="rId26"/>
    <sheet name="25. Version Log" sheetId="27" r:id="rId27"/>
  </sheets>
  <definedNames>
    <definedName name="_xlnm._FilterDatabase" localSheetId="2" hidden="1">'1. AI Systems'!$A$5:$Q$65</definedName>
    <definedName name="_xlnm._FilterDatabase" localSheetId="12" hidden="1">'11. Risk Register'!$A$5:$O$65</definedName>
    <definedName name="_xlnm._FilterDatabase" localSheetId="13" hidden="1">'12. Impact Assessment'!$A$5:$O$45</definedName>
    <definedName name="_xlnm._FilterDatabase" localSheetId="15" hidden="1">'14. Incident Log'!$A$5:$O$55</definedName>
    <definedName name="_xlnm._FilterDatabase" localSheetId="16" hidden="1">'15. Vendor Register'!$A$5:$O$55</definedName>
    <definedName name="_xlnm._FilterDatabase" localSheetId="17" hidden="1">'16. Training Records'!$A$5:$I$65</definedName>
    <definedName name="_xlnm._FilterDatabase" localSheetId="18" hidden="1">'17. Model Cards'!$A$5:$O$45</definedName>
    <definedName name="_xlnm._FilterDatabase" localSheetId="20" hidden="1">'19. Evidence Register'!$A$5:$H$85</definedName>
    <definedName name="_xlnm._FilterDatabase" localSheetId="3" hidden="1">'2. Jurisdiction Atlas'!$A$5:$J$24</definedName>
    <definedName name="_xlnm._FilterDatabase" localSheetId="24" hidden="1">'23. Glossary'!$A$5:$D$115</definedName>
    <definedName name="_xlnm._FilterDatabase" localSheetId="5" hidden="1">'4. Crosswalk'!$A$5:$I$37</definedName>
    <definedName name="_xlnm._FilterDatabase" localSheetId="7" hidden="1">'6. Technical Controls'!$A$5:$G$24</definedName>
    <definedName name="_xlnm._FilterDatabase" localSheetId="8" hidden="1">'7. Sector Overlays'!$A$5:$H$22</definedName>
    <definedName name="_xlnm._FilterDatabase" localSheetId="9" hidden="1">'8. Checklist'!$A$5:$I$265</definedName>
    <definedName name="Annex3List">'24. Config'!$D$13:$D$21</definedName>
    <definedName name="OwnerList">'24. Config'!$B$6:$B$35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6" i="23" l="1"/>
  <c r="F25" i="23"/>
  <c r="F24" i="23"/>
  <c r="F23" i="23"/>
  <c r="E22" i="23"/>
  <c r="F22" i="23" s="1"/>
  <c r="F21" i="23"/>
  <c r="F20" i="23"/>
  <c r="F19" i="23"/>
  <c r="F18" i="23"/>
  <c r="F17" i="23"/>
  <c r="F16" i="23"/>
  <c r="F15" i="23"/>
  <c r="F14" i="23"/>
  <c r="F13" i="23"/>
  <c r="F12" i="23"/>
  <c r="F11" i="23"/>
  <c r="E10" i="23"/>
  <c r="F10" i="23" s="1"/>
  <c r="F9" i="23"/>
  <c r="F8" i="23"/>
  <c r="F7" i="23"/>
  <c r="F17" i="22"/>
  <c r="D17" i="22"/>
  <c r="E17" i="22" s="1"/>
  <c r="F15" i="22"/>
  <c r="E15" i="22"/>
  <c r="F14" i="22"/>
  <c r="E14" i="22"/>
  <c r="F13" i="22"/>
  <c r="E13" i="22"/>
  <c r="F12" i="22"/>
  <c r="E12" i="22"/>
  <c r="F11" i="22"/>
  <c r="E11" i="22"/>
  <c r="F10" i="22"/>
  <c r="E10" i="22"/>
  <c r="F9" i="22"/>
  <c r="E9" i="22"/>
  <c r="F8" i="22"/>
  <c r="E8" i="22"/>
  <c r="F7" i="22"/>
  <c r="E7" i="22"/>
  <c r="F6" i="22"/>
  <c r="E6" i="22"/>
  <c r="H85" i="21"/>
  <c r="A85" i="21"/>
  <c r="H84" i="21"/>
  <c r="A84" i="21"/>
  <c r="H83" i="21"/>
  <c r="A83" i="21"/>
  <c r="H82" i="21"/>
  <c r="A82" i="21"/>
  <c r="H81" i="21"/>
  <c r="A81" i="21"/>
  <c r="H80" i="21"/>
  <c r="A80" i="21"/>
  <c r="H79" i="21"/>
  <c r="A79" i="21"/>
  <c r="H78" i="21"/>
  <c r="A78" i="21"/>
  <c r="H77" i="21"/>
  <c r="A77" i="21"/>
  <c r="H76" i="21"/>
  <c r="A76" i="21"/>
  <c r="H75" i="21"/>
  <c r="A75" i="21"/>
  <c r="H74" i="21"/>
  <c r="A74" i="21"/>
  <c r="H73" i="21"/>
  <c r="A73" i="21"/>
  <c r="H72" i="21"/>
  <c r="A72" i="21"/>
  <c r="H71" i="21"/>
  <c r="A71" i="21"/>
  <c r="H70" i="21"/>
  <c r="A70" i="21"/>
  <c r="H69" i="21"/>
  <c r="A69" i="21"/>
  <c r="H68" i="21"/>
  <c r="A68" i="21"/>
  <c r="H67" i="21"/>
  <c r="A67" i="21"/>
  <c r="H66" i="21"/>
  <c r="A66" i="21"/>
  <c r="H65" i="21"/>
  <c r="A65" i="21"/>
  <c r="H64" i="21"/>
  <c r="A64" i="21"/>
  <c r="H63" i="21"/>
  <c r="A63" i="21"/>
  <c r="H62" i="21"/>
  <c r="A62" i="21"/>
  <c r="H61" i="21"/>
  <c r="A61" i="21"/>
  <c r="H60" i="21"/>
  <c r="A60" i="21"/>
  <c r="H59" i="21"/>
  <c r="A59" i="21"/>
  <c r="H58" i="21"/>
  <c r="A58" i="21"/>
  <c r="H57" i="21"/>
  <c r="A57" i="21"/>
  <c r="H56" i="21"/>
  <c r="A56" i="21"/>
  <c r="H55" i="21"/>
  <c r="A55" i="21"/>
  <c r="H54" i="21"/>
  <c r="A54" i="21"/>
  <c r="H53" i="21"/>
  <c r="A53" i="21"/>
  <c r="H52" i="21"/>
  <c r="A52" i="21"/>
  <c r="H51" i="21"/>
  <c r="A51" i="21"/>
  <c r="H50" i="21"/>
  <c r="A50" i="21"/>
  <c r="H49" i="21"/>
  <c r="A49" i="21"/>
  <c r="H48" i="21"/>
  <c r="A48" i="21"/>
  <c r="H47" i="21"/>
  <c r="A47" i="21"/>
  <c r="H46" i="21"/>
  <c r="A46" i="21"/>
  <c r="H45" i="21"/>
  <c r="A45" i="21"/>
  <c r="H44" i="21"/>
  <c r="A44" i="21"/>
  <c r="H43" i="21"/>
  <c r="A43" i="21"/>
  <c r="H42" i="21"/>
  <c r="A42" i="21"/>
  <c r="H41" i="21"/>
  <c r="A41" i="21"/>
  <c r="H40" i="21"/>
  <c r="A40" i="21"/>
  <c r="H39" i="21"/>
  <c r="A39" i="21"/>
  <c r="H38" i="21"/>
  <c r="A38" i="21"/>
  <c r="H37" i="21"/>
  <c r="A37" i="21"/>
  <c r="H36" i="21"/>
  <c r="A36" i="21"/>
  <c r="H35" i="21"/>
  <c r="A35" i="21"/>
  <c r="H34" i="21"/>
  <c r="A34" i="21"/>
  <c r="H33" i="21"/>
  <c r="A33" i="21"/>
  <c r="H32" i="21"/>
  <c r="A32" i="21"/>
  <c r="H31" i="21"/>
  <c r="A31" i="21"/>
  <c r="H30" i="21"/>
  <c r="A30" i="21"/>
  <c r="H29" i="21"/>
  <c r="A29" i="21"/>
  <c r="H28" i="21"/>
  <c r="A28" i="21"/>
  <c r="H27" i="21"/>
  <c r="A27" i="21"/>
  <c r="H26" i="21"/>
  <c r="A26" i="21"/>
  <c r="H25" i="21"/>
  <c r="A25" i="21"/>
  <c r="H24" i="21"/>
  <c r="A24" i="21"/>
  <c r="H23" i="21"/>
  <c r="A23" i="21"/>
  <c r="H22" i="21"/>
  <c r="A22" i="21"/>
  <c r="H21" i="21"/>
  <c r="A21" i="21"/>
  <c r="H20" i="21"/>
  <c r="A20" i="21"/>
  <c r="H19" i="21"/>
  <c r="A19" i="21"/>
  <c r="H18" i="21"/>
  <c r="A18" i="21"/>
  <c r="H17" i="21"/>
  <c r="A17" i="21"/>
  <c r="H16" i="21"/>
  <c r="A16" i="21"/>
  <c r="H15" i="21"/>
  <c r="A15" i="21"/>
  <c r="H14" i="21"/>
  <c r="A14" i="21"/>
  <c r="H13" i="21"/>
  <c r="A13" i="21"/>
  <c r="H12" i="21"/>
  <c r="A12" i="21"/>
  <c r="H11" i="21"/>
  <c r="A11" i="21"/>
  <c r="H10" i="21"/>
  <c r="A10" i="21"/>
  <c r="H9" i="21"/>
  <c r="A9" i="21"/>
  <c r="H8" i="21"/>
  <c r="A8" i="21"/>
  <c r="H7" i="21"/>
  <c r="A7" i="21"/>
  <c r="H6" i="21"/>
  <c r="A6" i="21"/>
  <c r="P23" i="20"/>
  <c r="P22" i="20"/>
  <c r="P21" i="20"/>
  <c r="P20" i="20"/>
  <c r="P19" i="20"/>
  <c r="P18" i="20"/>
  <c r="P17" i="20"/>
  <c r="P16" i="20"/>
  <c r="P15" i="20"/>
  <c r="P14" i="20"/>
  <c r="P13" i="20"/>
  <c r="P12" i="20"/>
  <c r="P11" i="20"/>
  <c r="P10" i="20"/>
  <c r="H55" i="2" s="1"/>
  <c r="P9" i="20"/>
  <c r="P8" i="20"/>
  <c r="P7" i="20"/>
  <c r="P6" i="20"/>
  <c r="I65" i="18"/>
  <c r="I64" i="18"/>
  <c r="I63" i="18"/>
  <c r="I62" i="18"/>
  <c r="I61" i="18"/>
  <c r="I60" i="18"/>
  <c r="I59" i="18"/>
  <c r="I58" i="18"/>
  <c r="I57" i="18"/>
  <c r="I56" i="18"/>
  <c r="I55" i="18"/>
  <c r="I54" i="18"/>
  <c r="I53" i="18"/>
  <c r="I52" i="18"/>
  <c r="I51" i="18"/>
  <c r="I50" i="18"/>
  <c r="I49" i="18"/>
  <c r="I48" i="18"/>
  <c r="I47" i="18"/>
  <c r="I46" i="18"/>
  <c r="I45" i="18"/>
  <c r="I44" i="18"/>
  <c r="I43" i="18"/>
  <c r="I42" i="18"/>
  <c r="I41" i="18"/>
  <c r="I40" i="18"/>
  <c r="I39" i="18"/>
  <c r="I38" i="18"/>
  <c r="I37" i="18"/>
  <c r="I36" i="18"/>
  <c r="I35" i="18"/>
  <c r="I34" i="18"/>
  <c r="I33" i="18"/>
  <c r="I32" i="18"/>
  <c r="I31" i="18"/>
  <c r="I30" i="18"/>
  <c r="I29" i="18"/>
  <c r="I28" i="18"/>
  <c r="I27" i="18"/>
  <c r="I26" i="18"/>
  <c r="I25" i="18"/>
  <c r="I24" i="18"/>
  <c r="I23" i="18"/>
  <c r="I22" i="18"/>
  <c r="I21" i="18"/>
  <c r="I20" i="18"/>
  <c r="I19" i="18"/>
  <c r="I18" i="18"/>
  <c r="I17" i="18"/>
  <c r="I16" i="18"/>
  <c r="I15" i="18"/>
  <c r="I14" i="18"/>
  <c r="I13" i="18"/>
  <c r="I12" i="18"/>
  <c r="I11" i="18"/>
  <c r="I10" i="18"/>
  <c r="I9" i="18"/>
  <c r="I8" i="18"/>
  <c r="I7" i="18"/>
  <c r="I6" i="18"/>
  <c r="O55" i="17"/>
  <c r="O54" i="17"/>
  <c r="O53" i="17"/>
  <c r="O52" i="17"/>
  <c r="O51" i="17"/>
  <c r="O50" i="17"/>
  <c r="O49" i="17"/>
  <c r="O48" i="17"/>
  <c r="O47" i="17"/>
  <c r="O46" i="17"/>
  <c r="O45" i="17"/>
  <c r="O44" i="17"/>
  <c r="O43" i="17"/>
  <c r="O42" i="17"/>
  <c r="O41" i="17"/>
  <c r="O40" i="17"/>
  <c r="O39" i="17"/>
  <c r="O38" i="17"/>
  <c r="O37" i="17"/>
  <c r="O36" i="17"/>
  <c r="O35" i="17"/>
  <c r="O34" i="17"/>
  <c r="O33" i="17"/>
  <c r="O32" i="17"/>
  <c r="O31" i="17"/>
  <c r="O30" i="17"/>
  <c r="O29" i="17"/>
  <c r="O28" i="17"/>
  <c r="O27" i="17"/>
  <c r="O26" i="17"/>
  <c r="O25" i="17"/>
  <c r="O24" i="17"/>
  <c r="O23" i="17"/>
  <c r="O22" i="17"/>
  <c r="O21" i="17"/>
  <c r="O20" i="17"/>
  <c r="O19" i="17"/>
  <c r="O18" i="17"/>
  <c r="O17" i="17"/>
  <c r="O16" i="17"/>
  <c r="O15" i="17"/>
  <c r="O14" i="17"/>
  <c r="O13" i="17"/>
  <c r="O12" i="17"/>
  <c r="O11" i="17"/>
  <c r="O10" i="17"/>
  <c r="H50" i="2" s="1"/>
  <c r="O9" i="17"/>
  <c r="O8" i="17"/>
  <c r="O7" i="17"/>
  <c r="O6" i="17"/>
  <c r="K65" i="13"/>
  <c r="G65" i="13"/>
  <c r="K64" i="13"/>
  <c r="G64" i="13"/>
  <c r="K63" i="13"/>
  <c r="G63" i="13"/>
  <c r="K62" i="13"/>
  <c r="G62" i="13"/>
  <c r="K61" i="13"/>
  <c r="G61" i="13"/>
  <c r="K60" i="13"/>
  <c r="G60" i="13"/>
  <c r="K59" i="13"/>
  <c r="G59" i="13"/>
  <c r="K58" i="13"/>
  <c r="G58" i="13"/>
  <c r="K57" i="13"/>
  <c r="G57" i="13"/>
  <c r="K56" i="13"/>
  <c r="G56" i="13"/>
  <c r="K55" i="13"/>
  <c r="G55" i="13"/>
  <c r="K54" i="13"/>
  <c r="G54" i="13"/>
  <c r="K53" i="13"/>
  <c r="G53" i="13"/>
  <c r="K52" i="13"/>
  <c r="G52" i="13"/>
  <c r="K51" i="13"/>
  <c r="G51" i="13"/>
  <c r="K50" i="13"/>
  <c r="G50" i="13"/>
  <c r="K49" i="13"/>
  <c r="G49" i="13"/>
  <c r="K48" i="13"/>
  <c r="G48" i="13"/>
  <c r="K47" i="13"/>
  <c r="G47" i="13"/>
  <c r="K46" i="13"/>
  <c r="G46" i="13"/>
  <c r="K45" i="13"/>
  <c r="G45" i="13"/>
  <c r="K44" i="13"/>
  <c r="G44" i="13"/>
  <c r="K43" i="13"/>
  <c r="G43" i="13"/>
  <c r="K42" i="13"/>
  <c r="G42" i="13"/>
  <c r="K41" i="13"/>
  <c r="G41" i="13"/>
  <c r="K40" i="13"/>
  <c r="G40" i="13"/>
  <c r="K39" i="13"/>
  <c r="G39" i="13"/>
  <c r="K38" i="13"/>
  <c r="G38" i="13"/>
  <c r="K37" i="13"/>
  <c r="G37" i="13"/>
  <c r="K36" i="13"/>
  <c r="G36" i="13"/>
  <c r="K35" i="13"/>
  <c r="G35" i="13"/>
  <c r="K34" i="13"/>
  <c r="G34" i="13"/>
  <c r="K33" i="13"/>
  <c r="G33" i="13"/>
  <c r="K32" i="13"/>
  <c r="G32" i="13"/>
  <c r="K31" i="13"/>
  <c r="G31" i="13"/>
  <c r="K30" i="13"/>
  <c r="G30" i="13"/>
  <c r="K29" i="13"/>
  <c r="G29" i="13"/>
  <c r="K28" i="13"/>
  <c r="G28" i="13"/>
  <c r="K27" i="13"/>
  <c r="G27" i="13"/>
  <c r="K26" i="13"/>
  <c r="G26" i="13"/>
  <c r="K25" i="13"/>
  <c r="G25" i="13"/>
  <c r="K24" i="13"/>
  <c r="G24" i="13"/>
  <c r="K23" i="13"/>
  <c r="G23" i="13"/>
  <c r="K22" i="13"/>
  <c r="G22" i="13"/>
  <c r="K21" i="13"/>
  <c r="G21" i="13"/>
  <c r="K20" i="13"/>
  <c r="G20" i="13"/>
  <c r="K19" i="13"/>
  <c r="G19" i="13"/>
  <c r="K18" i="13"/>
  <c r="G18" i="13"/>
  <c r="K17" i="13"/>
  <c r="G17" i="13"/>
  <c r="K16" i="13"/>
  <c r="G16" i="13"/>
  <c r="K15" i="13"/>
  <c r="G15" i="13"/>
  <c r="K14" i="13"/>
  <c r="G14" i="13"/>
  <c r="K13" i="13"/>
  <c r="G13" i="13"/>
  <c r="K12" i="13"/>
  <c r="G12" i="13"/>
  <c r="K11" i="13"/>
  <c r="G11" i="13"/>
  <c r="K10" i="13"/>
  <c r="G10" i="13"/>
  <c r="K9" i="13"/>
  <c r="G9" i="13"/>
  <c r="K8" i="13"/>
  <c r="G8" i="13"/>
  <c r="K7" i="13"/>
  <c r="G7" i="13"/>
  <c r="K6" i="13"/>
  <c r="G6" i="13"/>
  <c r="A64" i="12"/>
  <c r="G63" i="12"/>
  <c r="E50" i="12"/>
  <c r="D50" i="12"/>
  <c r="E37" i="12"/>
  <c r="D37" i="12"/>
  <c r="G24" i="12"/>
  <c r="B24" i="12"/>
  <c r="D12" i="12"/>
  <c r="C12" i="12"/>
  <c r="F4" i="12"/>
  <c r="B92" i="11"/>
  <c r="G90" i="11"/>
  <c r="E78" i="11"/>
  <c r="D78" i="11"/>
  <c r="B66" i="11"/>
  <c r="A66" i="11"/>
  <c r="F56" i="11"/>
  <c r="E56" i="11"/>
  <c r="G44" i="11"/>
  <c r="C44" i="11"/>
  <c r="A33" i="11"/>
  <c r="G32" i="11"/>
  <c r="C23" i="11"/>
  <c r="B23" i="11"/>
  <c r="E13" i="11"/>
  <c r="E12" i="11"/>
  <c r="D12" i="11"/>
  <c r="F11" i="11"/>
  <c r="E11" i="11"/>
  <c r="C11" i="11"/>
  <c r="G8" i="11"/>
  <c r="F8" i="11"/>
  <c r="G7" i="11"/>
  <c r="F7" i="11"/>
  <c r="E7" i="11"/>
  <c r="C7" i="11"/>
  <c r="B7" i="11"/>
  <c r="E6" i="11"/>
  <c r="D6" i="11"/>
  <c r="C6" i="11"/>
  <c r="B6" i="11"/>
  <c r="K265" i="10"/>
  <c r="J265" i="10"/>
  <c r="H265" i="10"/>
  <c r="K264" i="10"/>
  <c r="J264" i="10"/>
  <c r="H264" i="10"/>
  <c r="K263" i="10"/>
  <c r="J263" i="10"/>
  <c r="H263" i="10"/>
  <c r="K262" i="10"/>
  <c r="J262" i="10"/>
  <c r="H262" i="10"/>
  <c r="K261" i="10"/>
  <c r="J261" i="10"/>
  <c r="H261" i="10"/>
  <c r="K260" i="10"/>
  <c r="J260" i="10"/>
  <c r="H260" i="10"/>
  <c r="K259" i="10"/>
  <c r="J259" i="10"/>
  <c r="H259" i="10"/>
  <c r="K258" i="10"/>
  <c r="J258" i="10"/>
  <c r="H258" i="10"/>
  <c r="K257" i="10"/>
  <c r="J257" i="10"/>
  <c r="H257" i="10"/>
  <c r="K256" i="10"/>
  <c r="J256" i="10"/>
  <c r="H256" i="10"/>
  <c r="K255" i="10"/>
  <c r="J255" i="10"/>
  <c r="H255" i="10"/>
  <c r="K254" i="10"/>
  <c r="J254" i="10"/>
  <c r="H254" i="10"/>
  <c r="K253" i="10"/>
  <c r="J253" i="10"/>
  <c r="H253" i="10"/>
  <c r="K252" i="10"/>
  <c r="J252" i="10"/>
  <c r="H252" i="10"/>
  <c r="K251" i="10"/>
  <c r="J251" i="10"/>
  <c r="H251" i="10"/>
  <c r="K250" i="10"/>
  <c r="J250" i="10"/>
  <c r="H250" i="10"/>
  <c r="K249" i="10"/>
  <c r="J249" i="10"/>
  <c r="H249" i="10"/>
  <c r="K248" i="10"/>
  <c r="J248" i="10"/>
  <c r="H248" i="10"/>
  <c r="K247" i="10"/>
  <c r="J247" i="10"/>
  <c r="H247" i="10"/>
  <c r="K246" i="10"/>
  <c r="J246" i="10"/>
  <c r="H246" i="10"/>
  <c r="K245" i="10"/>
  <c r="J245" i="10"/>
  <c r="H245" i="10"/>
  <c r="K244" i="10"/>
  <c r="J244" i="10"/>
  <c r="H244" i="10"/>
  <c r="K243" i="10"/>
  <c r="J243" i="10"/>
  <c r="H243" i="10"/>
  <c r="K242" i="10"/>
  <c r="J242" i="10"/>
  <c r="H242" i="10"/>
  <c r="K241" i="10"/>
  <c r="J241" i="10"/>
  <c r="H241" i="10"/>
  <c r="K240" i="10"/>
  <c r="J240" i="10"/>
  <c r="H240" i="10"/>
  <c r="K239" i="10"/>
  <c r="J239" i="10"/>
  <c r="H239" i="10"/>
  <c r="K238" i="10"/>
  <c r="J238" i="10"/>
  <c r="H238" i="10"/>
  <c r="K237" i="10"/>
  <c r="J237" i="10"/>
  <c r="H237" i="10"/>
  <c r="K236" i="10"/>
  <c r="J236" i="10"/>
  <c r="H236" i="10"/>
  <c r="K235" i="10"/>
  <c r="J235" i="10"/>
  <c r="H235" i="10"/>
  <c r="K234" i="10"/>
  <c r="J234" i="10"/>
  <c r="H234" i="10"/>
  <c r="K233" i="10"/>
  <c r="J233" i="10"/>
  <c r="H233" i="10"/>
  <c r="K232" i="10"/>
  <c r="J232" i="10"/>
  <c r="H232" i="10"/>
  <c r="K231" i="10"/>
  <c r="J231" i="10"/>
  <c r="H231" i="10"/>
  <c r="K230" i="10"/>
  <c r="J230" i="10"/>
  <c r="H230" i="10"/>
  <c r="K229" i="10"/>
  <c r="J229" i="10"/>
  <c r="H229" i="10"/>
  <c r="K228" i="10"/>
  <c r="J228" i="10"/>
  <c r="H228" i="10"/>
  <c r="K227" i="10"/>
  <c r="J227" i="10"/>
  <c r="H227" i="10"/>
  <c r="K226" i="10"/>
  <c r="J226" i="10"/>
  <c r="H226" i="10"/>
  <c r="K225" i="10"/>
  <c r="J225" i="10"/>
  <c r="H225" i="10"/>
  <c r="K224" i="10"/>
  <c r="J224" i="10"/>
  <c r="H224" i="10"/>
  <c r="K223" i="10"/>
  <c r="J223" i="10"/>
  <c r="H223" i="10"/>
  <c r="K222" i="10"/>
  <c r="J222" i="10"/>
  <c r="H222" i="10"/>
  <c r="K221" i="10"/>
  <c r="J221" i="10"/>
  <c r="H221" i="10"/>
  <c r="K220" i="10"/>
  <c r="J220" i="10"/>
  <c r="H220" i="10"/>
  <c r="K219" i="10"/>
  <c r="J219" i="10"/>
  <c r="H219" i="10"/>
  <c r="K218" i="10"/>
  <c r="J218" i="10"/>
  <c r="H218" i="10"/>
  <c r="K217" i="10"/>
  <c r="J217" i="10"/>
  <c r="H217" i="10"/>
  <c r="K216" i="10"/>
  <c r="J216" i="10"/>
  <c r="H216" i="10"/>
  <c r="K215" i="10"/>
  <c r="J215" i="10"/>
  <c r="H215" i="10"/>
  <c r="K214" i="10"/>
  <c r="J214" i="10"/>
  <c r="H214" i="10"/>
  <c r="K213" i="10"/>
  <c r="J213" i="10"/>
  <c r="H213" i="10"/>
  <c r="K212" i="10"/>
  <c r="J212" i="10"/>
  <c r="H212" i="10"/>
  <c r="K211" i="10"/>
  <c r="J211" i="10"/>
  <c r="H211" i="10"/>
  <c r="K210" i="10"/>
  <c r="J210" i="10"/>
  <c r="H210" i="10"/>
  <c r="K209" i="10"/>
  <c r="J209" i="10"/>
  <c r="H209" i="10"/>
  <c r="K208" i="10"/>
  <c r="J208" i="10"/>
  <c r="H208" i="10"/>
  <c r="K207" i="10"/>
  <c r="J207" i="10"/>
  <c r="H207" i="10"/>
  <c r="K206" i="10"/>
  <c r="J206" i="10"/>
  <c r="H206" i="10"/>
  <c r="K205" i="10"/>
  <c r="J205" i="10"/>
  <c r="H205" i="10"/>
  <c r="K204" i="10"/>
  <c r="J204" i="10"/>
  <c r="H204" i="10"/>
  <c r="K203" i="10"/>
  <c r="J203" i="10"/>
  <c r="H203" i="10"/>
  <c r="K202" i="10"/>
  <c r="J202" i="10"/>
  <c r="H202" i="10"/>
  <c r="K201" i="10"/>
  <c r="J201" i="10"/>
  <c r="H201" i="10"/>
  <c r="K200" i="10"/>
  <c r="J200" i="10"/>
  <c r="H200" i="10"/>
  <c r="K199" i="10"/>
  <c r="J199" i="10"/>
  <c r="H199" i="10"/>
  <c r="K198" i="10"/>
  <c r="J198" i="10"/>
  <c r="H198" i="10"/>
  <c r="K197" i="10"/>
  <c r="J197" i="10"/>
  <c r="H197" i="10"/>
  <c r="K196" i="10"/>
  <c r="J196" i="10"/>
  <c r="H196" i="10"/>
  <c r="K195" i="10"/>
  <c r="J195" i="10"/>
  <c r="H195" i="10"/>
  <c r="K194" i="10"/>
  <c r="J194" i="10"/>
  <c r="H194" i="10"/>
  <c r="K193" i="10"/>
  <c r="J193" i="10"/>
  <c r="H193" i="10"/>
  <c r="K192" i="10"/>
  <c r="J192" i="10"/>
  <c r="H192" i="10"/>
  <c r="K191" i="10"/>
  <c r="J191" i="10"/>
  <c r="H191" i="10"/>
  <c r="K190" i="10"/>
  <c r="J190" i="10"/>
  <c r="H190" i="10"/>
  <c r="K189" i="10"/>
  <c r="J189" i="10"/>
  <c r="H189" i="10"/>
  <c r="K188" i="10"/>
  <c r="J188" i="10"/>
  <c r="H188" i="10"/>
  <c r="K187" i="10"/>
  <c r="J187" i="10"/>
  <c r="H187" i="10"/>
  <c r="K186" i="10"/>
  <c r="J186" i="10"/>
  <c r="H186" i="10"/>
  <c r="K185" i="10"/>
  <c r="J185" i="10"/>
  <c r="H185" i="10"/>
  <c r="K184" i="10"/>
  <c r="J184" i="10"/>
  <c r="H184" i="10"/>
  <c r="K183" i="10"/>
  <c r="J183" i="10"/>
  <c r="H183" i="10"/>
  <c r="K182" i="10"/>
  <c r="J182" i="10"/>
  <c r="H182" i="10"/>
  <c r="K181" i="10"/>
  <c r="J181" i="10"/>
  <c r="H181" i="10"/>
  <c r="K180" i="10"/>
  <c r="J180" i="10"/>
  <c r="H180" i="10"/>
  <c r="K179" i="10"/>
  <c r="J179" i="10"/>
  <c r="H179" i="10"/>
  <c r="K178" i="10"/>
  <c r="J178" i="10"/>
  <c r="H178" i="10"/>
  <c r="K177" i="10"/>
  <c r="J177" i="10"/>
  <c r="H177" i="10"/>
  <c r="K176" i="10"/>
  <c r="J176" i="10"/>
  <c r="H176" i="10"/>
  <c r="K175" i="10"/>
  <c r="J175" i="10"/>
  <c r="H175" i="10"/>
  <c r="K174" i="10"/>
  <c r="J174" i="10"/>
  <c r="H174" i="10"/>
  <c r="K173" i="10"/>
  <c r="J173" i="10"/>
  <c r="H173" i="10"/>
  <c r="K172" i="10"/>
  <c r="J172" i="10"/>
  <c r="H172" i="10"/>
  <c r="K171" i="10"/>
  <c r="J171" i="10"/>
  <c r="H171" i="10"/>
  <c r="K170" i="10"/>
  <c r="J170" i="10"/>
  <c r="H170" i="10"/>
  <c r="K169" i="10"/>
  <c r="J169" i="10"/>
  <c r="H169" i="10"/>
  <c r="K168" i="10"/>
  <c r="J168" i="10"/>
  <c r="H168" i="10"/>
  <c r="K167" i="10"/>
  <c r="J167" i="10"/>
  <c r="H167" i="10"/>
  <c r="K166" i="10"/>
  <c r="J166" i="10"/>
  <c r="H166" i="10"/>
  <c r="K165" i="10"/>
  <c r="J165" i="10"/>
  <c r="H165" i="10"/>
  <c r="K164" i="10"/>
  <c r="J164" i="10"/>
  <c r="H164" i="10"/>
  <c r="K163" i="10"/>
  <c r="J163" i="10"/>
  <c r="H163" i="10"/>
  <c r="K162" i="10"/>
  <c r="J162" i="10"/>
  <c r="H162" i="10"/>
  <c r="K161" i="10"/>
  <c r="J161" i="10"/>
  <c r="H161" i="10"/>
  <c r="K160" i="10"/>
  <c r="J160" i="10"/>
  <c r="H160" i="10"/>
  <c r="K159" i="10"/>
  <c r="J159" i="10"/>
  <c r="H159" i="10"/>
  <c r="K158" i="10"/>
  <c r="J158" i="10"/>
  <c r="H158" i="10"/>
  <c r="K157" i="10"/>
  <c r="J157" i="10"/>
  <c r="H157" i="10"/>
  <c r="K156" i="10"/>
  <c r="J156" i="10"/>
  <c r="H156" i="10"/>
  <c r="K155" i="10"/>
  <c r="J155" i="10"/>
  <c r="H155" i="10"/>
  <c r="K154" i="10"/>
  <c r="J154" i="10"/>
  <c r="H154" i="10"/>
  <c r="K153" i="10"/>
  <c r="J153" i="10"/>
  <c r="H153" i="10"/>
  <c r="K152" i="10"/>
  <c r="J152" i="10"/>
  <c r="H152" i="10"/>
  <c r="K151" i="10"/>
  <c r="J151" i="10"/>
  <c r="H151" i="10"/>
  <c r="K150" i="10"/>
  <c r="J150" i="10"/>
  <c r="H150" i="10"/>
  <c r="K149" i="10"/>
  <c r="J149" i="10"/>
  <c r="H149" i="10"/>
  <c r="K148" i="10"/>
  <c r="J148" i="10"/>
  <c r="H148" i="10"/>
  <c r="K147" i="10"/>
  <c r="J147" i="10"/>
  <c r="H147" i="10"/>
  <c r="K146" i="10"/>
  <c r="J146" i="10"/>
  <c r="H146" i="10"/>
  <c r="K145" i="10"/>
  <c r="J145" i="10"/>
  <c r="H145" i="10"/>
  <c r="K144" i="10"/>
  <c r="J144" i="10"/>
  <c r="H144" i="10"/>
  <c r="K143" i="10"/>
  <c r="J143" i="10"/>
  <c r="H143" i="10"/>
  <c r="K142" i="10"/>
  <c r="J142" i="10"/>
  <c r="H142" i="10"/>
  <c r="K141" i="10"/>
  <c r="J141" i="10"/>
  <c r="H141" i="10"/>
  <c r="K140" i="10"/>
  <c r="J140" i="10"/>
  <c r="H140" i="10"/>
  <c r="K139" i="10"/>
  <c r="J139" i="10"/>
  <c r="H139" i="10"/>
  <c r="K138" i="10"/>
  <c r="J138" i="10"/>
  <c r="H138" i="10"/>
  <c r="K137" i="10"/>
  <c r="J137" i="10"/>
  <c r="H137" i="10"/>
  <c r="K136" i="10"/>
  <c r="J136" i="10"/>
  <c r="H136" i="10"/>
  <c r="K135" i="10"/>
  <c r="J135" i="10"/>
  <c r="H135" i="10"/>
  <c r="K134" i="10"/>
  <c r="J134" i="10"/>
  <c r="H134" i="10"/>
  <c r="K133" i="10"/>
  <c r="J133" i="10"/>
  <c r="H133" i="10"/>
  <c r="K132" i="10"/>
  <c r="J132" i="10"/>
  <c r="H132" i="10"/>
  <c r="K131" i="10"/>
  <c r="J131" i="10"/>
  <c r="H131" i="10"/>
  <c r="K130" i="10"/>
  <c r="J130" i="10"/>
  <c r="H130" i="10"/>
  <c r="K129" i="10"/>
  <c r="J129" i="10"/>
  <c r="H129" i="10"/>
  <c r="K128" i="10"/>
  <c r="J128" i="10"/>
  <c r="H128" i="10"/>
  <c r="K127" i="10"/>
  <c r="J127" i="10"/>
  <c r="H127" i="10"/>
  <c r="K126" i="10"/>
  <c r="J126" i="10"/>
  <c r="H126" i="10"/>
  <c r="K125" i="10"/>
  <c r="J125" i="10"/>
  <c r="H125" i="10"/>
  <c r="K124" i="10"/>
  <c r="J124" i="10"/>
  <c r="H124" i="10"/>
  <c r="K123" i="10"/>
  <c r="J123" i="10"/>
  <c r="H123" i="10"/>
  <c r="K122" i="10"/>
  <c r="J122" i="10"/>
  <c r="H122" i="10"/>
  <c r="K121" i="10"/>
  <c r="J121" i="10"/>
  <c r="H121" i="10"/>
  <c r="K120" i="10"/>
  <c r="J120" i="10"/>
  <c r="H120" i="10"/>
  <c r="K119" i="10"/>
  <c r="J119" i="10"/>
  <c r="H119" i="10"/>
  <c r="K118" i="10"/>
  <c r="J118" i="10"/>
  <c r="H118" i="10"/>
  <c r="K117" i="10"/>
  <c r="J117" i="10"/>
  <c r="H117" i="10"/>
  <c r="K116" i="10"/>
  <c r="J116" i="10"/>
  <c r="H116" i="10"/>
  <c r="K115" i="10"/>
  <c r="J115" i="10"/>
  <c r="H115" i="10"/>
  <c r="K114" i="10"/>
  <c r="J114" i="10"/>
  <c r="H114" i="10"/>
  <c r="K113" i="10"/>
  <c r="J113" i="10"/>
  <c r="H113" i="10"/>
  <c r="K112" i="10"/>
  <c r="J112" i="10"/>
  <c r="H112" i="10"/>
  <c r="K111" i="10"/>
  <c r="J111" i="10"/>
  <c r="H111" i="10"/>
  <c r="K110" i="10"/>
  <c r="J110" i="10"/>
  <c r="H110" i="10"/>
  <c r="K109" i="10"/>
  <c r="J109" i="10"/>
  <c r="H109" i="10"/>
  <c r="K108" i="10"/>
  <c r="J108" i="10"/>
  <c r="H108" i="10"/>
  <c r="K107" i="10"/>
  <c r="J107" i="10"/>
  <c r="H107" i="10"/>
  <c r="K106" i="10"/>
  <c r="J106" i="10"/>
  <c r="H106" i="10"/>
  <c r="K105" i="10"/>
  <c r="J105" i="10"/>
  <c r="H105" i="10"/>
  <c r="K104" i="10"/>
  <c r="J104" i="10"/>
  <c r="H104" i="10"/>
  <c r="K103" i="10"/>
  <c r="J103" i="10"/>
  <c r="H103" i="10"/>
  <c r="K102" i="10"/>
  <c r="J102" i="10"/>
  <c r="H102" i="10"/>
  <c r="K101" i="10"/>
  <c r="J101" i="10"/>
  <c r="H101" i="10"/>
  <c r="K100" i="10"/>
  <c r="J100" i="10"/>
  <c r="H100" i="10"/>
  <c r="K99" i="10"/>
  <c r="J99" i="10"/>
  <c r="H99" i="10"/>
  <c r="K98" i="10"/>
  <c r="J98" i="10"/>
  <c r="H98" i="10"/>
  <c r="K97" i="10"/>
  <c r="J97" i="10"/>
  <c r="H97" i="10"/>
  <c r="K96" i="10"/>
  <c r="J96" i="10"/>
  <c r="H96" i="10"/>
  <c r="K95" i="10"/>
  <c r="J95" i="10"/>
  <c r="H95" i="10"/>
  <c r="K94" i="10"/>
  <c r="J94" i="10"/>
  <c r="H94" i="10"/>
  <c r="K93" i="10"/>
  <c r="J93" i="10"/>
  <c r="H93" i="10"/>
  <c r="K92" i="10"/>
  <c r="J92" i="10"/>
  <c r="H92" i="10"/>
  <c r="K91" i="10"/>
  <c r="J91" i="10"/>
  <c r="H91" i="10"/>
  <c r="K90" i="10"/>
  <c r="J90" i="10"/>
  <c r="H90" i="10"/>
  <c r="K89" i="10"/>
  <c r="J89" i="10"/>
  <c r="H89" i="10"/>
  <c r="K88" i="10"/>
  <c r="J88" i="10"/>
  <c r="H88" i="10"/>
  <c r="K87" i="10"/>
  <c r="J87" i="10"/>
  <c r="H87" i="10"/>
  <c r="K86" i="10"/>
  <c r="J86" i="10"/>
  <c r="H86" i="10"/>
  <c r="K85" i="10"/>
  <c r="J85" i="10"/>
  <c r="H85" i="10"/>
  <c r="K84" i="10"/>
  <c r="J84" i="10"/>
  <c r="H84" i="10"/>
  <c r="K83" i="10"/>
  <c r="J83" i="10"/>
  <c r="H83" i="10"/>
  <c r="K82" i="10"/>
  <c r="J82" i="10"/>
  <c r="H82" i="10"/>
  <c r="K81" i="10"/>
  <c r="J81" i="10"/>
  <c r="H81" i="10"/>
  <c r="K80" i="10"/>
  <c r="J80" i="10"/>
  <c r="H80" i="10"/>
  <c r="K79" i="10"/>
  <c r="J79" i="10"/>
  <c r="H79" i="10"/>
  <c r="K78" i="10"/>
  <c r="J78" i="10"/>
  <c r="H78" i="10"/>
  <c r="K77" i="10"/>
  <c r="J77" i="10"/>
  <c r="H77" i="10"/>
  <c r="K76" i="10"/>
  <c r="J76" i="10"/>
  <c r="H76" i="10"/>
  <c r="K75" i="10"/>
  <c r="J75" i="10"/>
  <c r="H75" i="10"/>
  <c r="K74" i="10"/>
  <c r="J74" i="10"/>
  <c r="H74" i="10"/>
  <c r="K73" i="10"/>
  <c r="J73" i="10"/>
  <c r="H73" i="10"/>
  <c r="K72" i="10"/>
  <c r="J72" i="10"/>
  <c r="H72" i="10"/>
  <c r="K71" i="10"/>
  <c r="J71" i="10"/>
  <c r="H71" i="10"/>
  <c r="K70" i="10"/>
  <c r="J70" i="10"/>
  <c r="H70" i="10"/>
  <c r="K69" i="10"/>
  <c r="J69" i="10"/>
  <c r="H69" i="10"/>
  <c r="K68" i="10"/>
  <c r="J68" i="10"/>
  <c r="H68" i="10"/>
  <c r="K67" i="10"/>
  <c r="J67" i="10"/>
  <c r="H67" i="10"/>
  <c r="K66" i="10"/>
  <c r="J66" i="10"/>
  <c r="H66" i="10"/>
  <c r="K65" i="10"/>
  <c r="J65" i="10"/>
  <c r="H65" i="10"/>
  <c r="K64" i="10"/>
  <c r="J64" i="10"/>
  <c r="H64" i="10"/>
  <c r="K63" i="10"/>
  <c r="J63" i="10"/>
  <c r="H63" i="10"/>
  <c r="K62" i="10"/>
  <c r="J62" i="10"/>
  <c r="H62" i="10"/>
  <c r="K61" i="10"/>
  <c r="J61" i="10"/>
  <c r="H61" i="10"/>
  <c r="K60" i="10"/>
  <c r="J60" i="10"/>
  <c r="H60" i="10"/>
  <c r="K59" i="10"/>
  <c r="J59" i="10"/>
  <c r="H59" i="10"/>
  <c r="K58" i="10"/>
  <c r="J58" i="10"/>
  <c r="H58" i="10"/>
  <c r="K57" i="10"/>
  <c r="J57" i="10"/>
  <c r="H57" i="10"/>
  <c r="K56" i="10"/>
  <c r="J56" i="10"/>
  <c r="H56" i="10"/>
  <c r="K55" i="10"/>
  <c r="J55" i="10"/>
  <c r="H55" i="10"/>
  <c r="K54" i="10"/>
  <c r="J54" i="10"/>
  <c r="H54" i="10"/>
  <c r="K53" i="10"/>
  <c r="J53" i="10"/>
  <c r="H53" i="10"/>
  <c r="K52" i="10"/>
  <c r="J52" i="10"/>
  <c r="H52" i="10"/>
  <c r="K51" i="10"/>
  <c r="J51" i="10"/>
  <c r="H51" i="10"/>
  <c r="K50" i="10"/>
  <c r="J50" i="10"/>
  <c r="H50" i="10"/>
  <c r="K49" i="10"/>
  <c r="J49" i="10"/>
  <c r="H49" i="10"/>
  <c r="K48" i="10"/>
  <c r="J48" i="10"/>
  <c r="H48" i="10"/>
  <c r="K47" i="10"/>
  <c r="J47" i="10"/>
  <c r="H47" i="10"/>
  <c r="K46" i="10"/>
  <c r="J46" i="10"/>
  <c r="H46" i="10"/>
  <c r="K45" i="10"/>
  <c r="J45" i="10"/>
  <c r="H45" i="10"/>
  <c r="K44" i="10"/>
  <c r="J44" i="10"/>
  <c r="H44" i="10"/>
  <c r="K43" i="10"/>
  <c r="J43" i="10"/>
  <c r="H43" i="10"/>
  <c r="K42" i="10"/>
  <c r="J42" i="10"/>
  <c r="H42" i="10"/>
  <c r="K41" i="10"/>
  <c r="J41" i="10"/>
  <c r="H41" i="10"/>
  <c r="K40" i="10"/>
  <c r="J40" i="10"/>
  <c r="H40" i="10"/>
  <c r="K39" i="10"/>
  <c r="J39" i="10"/>
  <c r="H39" i="10"/>
  <c r="K38" i="10"/>
  <c r="J38" i="10"/>
  <c r="H38" i="10"/>
  <c r="K37" i="10"/>
  <c r="J37" i="10"/>
  <c r="H37" i="10"/>
  <c r="K36" i="10"/>
  <c r="J36" i="10"/>
  <c r="H36" i="10"/>
  <c r="K35" i="10"/>
  <c r="J35" i="10"/>
  <c r="H35" i="10"/>
  <c r="K34" i="10"/>
  <c r="J34" i="10"/>
  <c r="H34" i="10"/>
  <c r="K33" i="10"/>
  <c r="J33" i="10"/>
  <c r="H33" i="10"/>
  <c r="K32" i="10"/>
  <c r="J32" i="10"/>
  <c r="H32" i="10"/>
  <c r="K31" i="10"/>
  <c r="J31" i="10"/>
  <c r="H31" i="10"/>
  <c r="K30" i="10"/>
  <c r="J30" i="10"/>
  <c r="H30" i="10"/>
  <c r="K29" i="10"/>
  <c r="J29" i="10"/>
  <c r="H29" i="10"/>
  <c r="K28" i="10"/>
  <c r="J28" i="10"/>
  <c r="H28" i="10"/>
  <c r="K27" i="10"/>
  <c r="J27" i="10"/>
  <c r="H27" i="10"/>
  <c r="K26" i="10"/>
  <c r="J26" i="10"/>
  <c r="H26" i="10"/>
  <c r="K25" i="10"/>
  <c r="J25" i="10"/>
  <c r="H25" i="10"/>
  <c r="K24" i="10"/>
  <c r="J24" i="10"/>
  <c r="H24" i="10"/>
  <c r="K23" i="10"/>
  <c r="J23" i="10"/>
  <c r="H23" i="10"/>
  <c r="K22" i="10"/>
  <c r="E51" i="12" s="1"/>
  <c r="J22" i="10"/>
  <c r="H22" i="10"/>
  <c r="K21" i="10"/>
  <c r="J21" i="10"/>
  <c r="H21" i="10"/>
  <c r="K20" i="10"/>
  <c r="J20" i="10"/>
  <c r="H20" i="10"/>
  <c r="K19" i="10"/>
  <c r="J19" i="10"/>
  <c r="H19" i="10"/>
  <c r="K18" i="10"/>
  <c r="J18" i="10"/>
  <c r="H18" i="10"/>
  <c r="K17" i="10"/>
  <c r="J17" i="10"/>
  <c r="H17" i="10"/>
  <c r="K16" i="10"/>
  <c r="J16" i="10"/>
  <c r="H16" i="10"/>
  <c r="K15" i="10"/>
  <c r="J15" i="10"/>
  <c r="B58" i="11" s="1"/>
  <c r="H15" i="10"/>
  <c r="K14" i="10"/>
  <c r="J14" i="10"/>
  <c r="H14" i="10"/>
  <c r="K13" i="10"/>
  <c r="J13" i="10"/>
  <c r="H13" i="10"/>
  <c r="K12" i="10"/>
  <c r="J12" i="10"/>
  <c r="H12" i="10"/>
  <c r="K11" i="10"/>
  <c r="J11" i="10"/>
  <c r="H11" i="10"/>
  <c r="K10" i="10"/>
  <c r="J10" i="10"/>
  <c r="H10" i="10"/>
  <c r="K9" i="10"/>
  <c r="J9" i="10"/>
  <c r="H9" i="10"/>
  <c r="K8" i="10"/>
  <c r="J8" i="10"/>
  <c r="H8" i="10"/>
  <c r="K7" i="10"/>
  <c r="J7" i="10"/>
  <c r="H7" i="10"/>
  <c r="K6" i="10"/>
  <c r="J6" i="10"/>
  <c r="H6" i="10"/>
  <c r="A16" i="5"/>
  <c r="A15" i="5"/>
  <c r="J24" i="4"/>
  <c r="J23" i="4"/>
  <c r="J22" i="4"/>
  <c r="J21" i="4"/>
  <c r="J20" i="4"/>
  <c r="J19" i="4"/>
  <c r="J18" i="4"/>
  <c r="J17" i="4"/>
  <c r="J16" i="4"/>
  <c r="J15" i="4"/>
  <c r="J14" i="4"/>
  <c r="J13" i="4"/>
  <c r="J12" i="4"/>
  <c r="J11" i="4"/>
  <c r="J10" i="4"/>
  <c r="J9" i="4"/>
  <c r="J8" i="4"/>
  <c r="J7" i="4"/>
  <c r="J6" i="4"/>
  <c r="Q65" i="3"/>
  <c r="N65" i="3"/>
  <c r="M65" i="3"/>
  <c r="O65" i="3" s="1"/>
  <c r="A65" i="3"/>
  <c r="Q64" i="3"/>
  <c r="M64" i="3"/>
  <c r="A64" i="3"/>
  <c r="Q63" i="3"/>
  <c r="M63" i="3"/>
  <c r="O63" i="3" s="1"/>
  <c r="A63" i="3"/>
  <c r="Q62" i="3"/>
  <c r="O62" i="3"/>
  <c r="N62" i="3"/>
  <c r="M62" i="3"/>
  <c r="A62" i="3"/>
  <c r="Q61" i="3"/>
  <c r="O61" i="3"/>
  <c r="M61" i="3"/>
  <c r="N61" i="3" s="1"/>
  <c r="A61" i="3"/>
  <c r="Q60" i="3"/>
  <c r="O60" i="3"/>
  <c r="N60" i="3"/>
  <c r="M60" i="3"/>
  <c r="A60" i="3"/>
  <c r="Q59" i="3"/>
  <c r="M59" i="3"/>
  <c r="O59" i="3" s="1"/>
  <c r="A59" i="3"/>
  <c r="Q58" i="3"/>
  <c r="M58" i="3"/>
  <c r="O58" i="3" s="1"/>
  <c r="A58" i="3"/>
  <c r="Q57" i="3"/>
  <c r="M57" i="3"/>
  <c r="O57" i="3" s="1"/>
  <c r="A57" i="3"/>
  <c r="Q56" i="3"/>
  <c r="N56" i="3"/>
  <c r="M56" i="3"/>
  <c r="O56" i="3" s="1"/>
  <c r="A56" i="3"/>
  <c r="Q55" i="3"/>
  <c r="M55" i="3"/>
  <c r="A55" i="3"/>
  <c r="Q54" i="3"/>
  <c r="M54" i="3"/>
  <c r="A54" i="3"/>
  <c r="Q53" i="3"/>
  <c r="O53" i="3"/>
  <c r="M53" i="3"/>
  <c r="N53" i="3" s="1"/>
  <c r="A53" i="3"/>
  <c r="Q52" i="3"/>
  <c r="O52" i="3"/>
  <c r="N52" i="3"/>
  <c r="M52" i="3"/>
  <c r="A52" i="3"/>
  <c r="Q51" i="3"/>
  <c r="O51" i="3"/>
  <c r="M51" i="3"/>
  <c r="N51" i="3" s="1"/>
  <c r="A51" i="3"/>
  <c r="Q50" i="3"/>
  <c r="M50" i="3"/>
  <c r="O50" i="3" s="1"/>
  <c r="A50" i="3"/>
  <c r="Q49" i="3"/>
  <c r="M49" i="3"/>
  <c r="A49" i="3"/>
  <c r="Q48" i="3"/>
  <c r="O48" i="3"/>
  <c r="N48" i="3"/>
  <c r="M48" i="3"/>
  <c r="A48" i="3"/>
  <c r="Q47" i="3"/>
  <c r="N47" i="3"/>
  <c r="M47" i="3"/>
  <c r="O47" i="3" s="1"/>
  <c r="A47" i="3"/>
  <c r="Q46" i="3"/>
  <c r="O46" i="3"/>
  <c r="N46" i="3"/>
  <c r="M46" i="3"/>
  <c r="A46" i="3"/>
  <c r="Q45" i="3"/>
  <c r="M45" i="3"/>
  <c r="O45" i="3" s="1"/>
  <c r="A45" i="3"/>
  <c r="Q44" i="3"/>
  <c r="N44" i="3"/>
  <c r="M44" i="3"/>
  <c r="O44" i="3" s="1"/>
  <c r="A44" i="3"/>
  <c r="Q43" i="3"/>
  <c r="M43" i="3"/>
  <c r="O43" i="3" s="1"/>
  <c r="A43" i="3"/>
  <c r="Q42" i="3"/>
  <c r="M42" i="3"/>
  <c r="A42" i="3"/>
  <c r="Q41" i="3"/>
  <c r="O41" i="3"/>
  <c r="N41" i="3"/>
  <c r="M41" i="3"/>
  <c r="A41" i="3"/>
  <c r="Q40" i="3"/>
  <c r="O40" i="3"/>
  <c r="N40" i="3"/>
  <c r="M40" i="3"/>
  <c r="A40" i="3"/>
  <c r="Q39" i="3"/>
  <c r="O39" i="3"/>
  <c r="N39" i="3"/>
  <c r="M39" i="3"/>
  <c r="A39" i="3"/>
  <c r="Q38" i="3"/>
  <c r="O38" i="3"/>
  <c r="N38" i="3"/>
  <c r="M38" i="3"/>
  <c r="A38" i="3"/>
  <c r="Q37" i="3"/>
  <c r="M37" i="3"/>
  <c r="N37" i="3" s="1"/>
  <c r="A37" i="3"/>
  <c r="Q36" i="3"/>
  <c r="N36" i="3"/>
  <c r="M36" i="3"/>
  <c r="O36" i="3" s="1"/>
  <c r="A36" i="3"/>
  <c r="Q35" i="3"/>
  <c r="M35" i="3"/>
  <c r="O35" i="3" s="1"/>
  <c r="A35" i="3"/>
  <c r="Q34" i="3"/>
  <c r="M34" i="3"/>
  <c r="N34" i="3" s="1"/>
  <c r="A34" i="3"/>
  <c r="Q33" i="3"/>
  <c r="N33" i="3"/>
  <c r="M33" i="3"/>
  <c r="O33" i="3" s="1"/>
  <c r="A33" i="3"/>
  <c r="Q32" i="3"/>
  <c r="O32" i="3"/>
  <c r="N32" i="3"/>
  <c r="M32" i="3"/>
  <c r="A32" i="3"/>
  <c r="Q31" i="3"/>
  <c r="O31" i="3"/>
  <c r="M31" i="3"/>
  <c r="N31" i="3" s="1"/>
  <c r="A31" i="3"/>
  <c r="Q30" i="3"/>
  <c r="M30" i="3"/>
  <c r="O30" i="3" s="1"/>
  <c r="A30" i="3"/>
  <c r="Q29" i="3"/>
  <c r="O29" i="3"/>
  <c r="M29" i="3"/>
  <c r="N29" i="3" s="1"/>
  <c r="A29" i="3"/>
  <c r="Q28" i="3"/>
  <c r="M28" i="3"/>
  <c r="A28" i="3"/>
  <c r="Q27" i="3"/>
  <c r="M27" i="3"/>
  <c r="N27" i="3" s="1"/>
  <c r="A27" i="3"/>
  <c r="Q26" i="3"/>
  <c r="O26" i="3"/>
  <c r="M26" i="3"/>
  <c r="N26" i="3" s="1"/>
  <c r="A26" i="3"/>
  <c r="Q25" i="3"/>
  <c r="M25" i="3"/>
  <c r="N25" i="3" s="1"/>
  <c r="A25" i="3"/>
  <c r="Q24" i="3"/>
  <c r="O24" i="3"/>
  <c r="M24" i="3"/>
  <c r="N24" i="3" s="1"/>
  <c r="A24" i="3"/>
  <c r="Q23" i="3"/>
  <c r="O23" i="3"/>
  <c r="N23" i="3"/>
  <c r="M23" i="3"/>
  <c r="A23" i="3"/>
  <c r="Q22" i="3"/>
  <c r="M22" i="3"/>
  <c r="O22" i="3" s="1"/>
  <c r="A22" i="3"/>
  <c r="Q21" i="3"/>
  <c r="O21" i="3"/>
  <c r="M21" i="3"/>
  <c r="N21" i="3" s="1"/>
  <c r="A21" i="3"/>
  <c r="Q20" i="3"/>
  <c r="M20" i="3"/>
  <c r="A20" i="3"/>
  <c r="Q19" i="3"/>
  <c r="O19" i="3"/>
  <c r="M19" i="3"/>
  <c r="N19" i="3" s="1"/>
  <c r="A19" i="3"/>
  <c r="Q18" i="3"/>
  <c r="O18" i="3"/>
  <c r="N18" i="3"/>
  <c r="M18" i="3"/>
  <c r="A18" i="3"/>
  <c r="Q17" i="3"/>
  <c r="O17" i="3"/>
  <c r="N17" i="3"/>
  <c r="M17" i="3"/>
  <c r="A17" i="3"/>
  <c r="Q16" i="3"/>
  <c r="O16" i="3"/>
  <c r="N16" i="3"/>
  <c r="M16" i="3"/>
  <c r="A16" i="3"/>
  <c r="Q15" i="3"/>
  <c r="M15" i="3"/>
  <c r="O15" i="3" s="1"/>
  <c r="A15" i="3"/>
  <c r="Q14" i="3"/>
  <c r="M14" i="3"/>
  <c r="O14" i="3" s="1"/>
  <c r="A14" i="3"/>
  <c r="Q13" i="3"/>
  <c r="M13" i="3"/>
  <c r="O13" i="3" s="1"/>
  <c r="A13" i="3"/>
  <c r="Q12" i="3"/>
  <c r="N12" i="3"/>
  <c r="M12" i="3"/>
  <c r="O12" i="3" s="1"/>
  <c r="A12" i="3"/>
  <c r="Q11" i="3"/>
  <c r="M11" i="3"/>
  <c r="A11" i="3"/>
  <c r="Q10" i="3"/>
  <c r="O10" i="3"/>
  <c r="M10" i="3"/>
  <c r="N10" i="3" s="1"/>
  <c r="A10" i="3"/>
  <c r="Q9" i="3"/>
  <c r="M9" i="3"/>
  <c r="N9" i="3" s="1"/>
  <c r="A9" i="3"/>
  <c r="Q8" i="3"/>
  <c r="M8" i="3"/>
  <c r="A8" i="3"/>
  <c r="Q7" i="3"/>
  <c r="O7" i="3"/>
  <c r="M7" i="3"/>
  <c r="N7" i="3" s="1"/>
  <c r="A7" i="3"/>
  <c r="Q6" i="3"/>
  <c r="O6" i="3"/>
  <c r="N6" i="3"/>
  <c r="M6" i="3"/>
  <c r="A6" i="3"/>
  <c r="E50" i="2"/>
  <c r="B41" i="2"/>
  <c r="M38" i="2"/>
  <c r="L38" i="2"/>
  <c r="N38" i="2" s="1"/>
  <c r="M37" i="2"/>
  <c r="N37" i="2" s="1"/>
  <c r="L37" i="2"/>
  <c r="N36" i="2"/>
  <c r="M36" i="2"/>
  <c r="L36" i="2"/>
  <c r="M35" i="2"/>
  <c r="N35" i="2" s="1"/>
  <c r="L35" i="2"/>
  <c r="M34" i="2"/>
  <c r="L34" i="2"/>
  <c r="N34" i="2" s="1"/>
  <c r="N33" i="2"/>
  <c r="M33" i="2"/>
  <c r="L33" i="2"/>
  <c r="M32" i="2"/>
  <c r="L32" i="2"/>
  <c r="N32" i="2" s="1"/>
  <c r="M31" i="2"/>
  <c r="N31" i="2" s="1"/>
  <c r="L31" i="2"/>
  <c r="M30" i="2"/>
  <c r="L30" i="2"/>
  <c r="M29" i="2"/>
  <c r="N29" i="2" s="1"/>
  <c r="L29" i="2"/>
  <c r="M28" i="2"/>
  <c r="L28" i="2"/>
  <c r="M27" i="2"/>
  <c r="L27" i="2"/>
  <c r="N27" i="2" s="1"/>
  <c r="M26" i="2"/>
  <c r="L26" i="2"/>
  <c r="M25" i="2"/>
  <c r="N25" i="2" s="1"/>
  <c r="L25" i="2"/>
  <c r="M24" i="2"/>
  <c r="L24" i="2"/>
  <c r="N24" i="2" s="1"/>
  <c r="M23" i="2"/>
  <c r="L23" i="2"/>
  <c r="N23" i="2" s="1"/>
  <c r="M22" i="2"/>
  <c r="N22" i="2" s="1"/>
  <c r="L22" i="2"/>
  <c r="E17" i="2"/>
  <c r="B17" i="2"/>
  <c r="H12" i="2"/>
  <c r="E12" i="2"/>
  <c r="B12" i="2"/>
  <c r="B7" i="2"/>
  <c r="B33" i="11" l="1"/>
  <c r="A45" i="11"/>
  <c r="G66" i="11"/>
  <c r="A25" i="12"/>
  <c r="N13" i="3"/>
  <c r="C33" i="11"/>
  <c r="B45" i="11"/>
  <c r="E57" i="11"/>
  <c r="G92" i="11"/>
  <c r="A16" i="12"/>
  <c r="B25" i="12"/>
  <c r="F64" i="12"/>
  <c r="H7" i="2"/>
  <c r="N57" i="3"/>
  <c r="F15" i="12"/>
  <c r="C64" i="12"/>
  <c r="C60" i="12"/>
  <c r="D56" i="12"/>
  <c r="A52" i="12"/>
  <c r="B48" i="12"/>
  <c r="B44" i="12"/>
  <c r="F39" i="12"/>
  <c r="G35" i="12"/>
  <c r="G31" i="12"/>
  <c r="A28" i="12"/>
  <c r="E23" i="12"/>
  <c r="E19" i="12"/>
  <c r="C11" i="12"/>
  <c r="D7" i="12"/>
  <c r="D63" i="12"/>
  <c r="E59" i="12"/>
  <c r="B55" i="12"/>
  <c r="C51" i="12"/>
  <c r="C47" i="12"/>
  <c r="G42" i="12"/>
  <c r="A39" i="12"/>
  <c r="A35" i="12"/>
  <c r="B31" i="12"/>
  <c r="F26" i="12"/>
  <c r="F22" i="12"/>
  <c r="G18" i="12"/>
  <c r="D14" i="12"/>
  <c r="E10" i="12"/>
  <c r="B63" i="12"/>
  <c r="F58" i="12"/>
  <c r="G54" i="12"/>
  <c r="G50" i="12"/>
  <c r="A47" i="12"/>
  <c r="E42" i="12"/>
  <c r="F38" i="12"/>
  <c r="F34" i="12"/>
  <c r="C30" i="12"/>
  <c r="D26" i="12"/>
  <c r="D22" i="12"/>
  <c r="E18" i="12"/>
  <c r="B14" i="12"/>
  <c r="B10" i="12"/>
  <c r="D66" i="12"/>
  <c r="G61" i="12"/>
  <c r="A58" i="12"/>
  <c r="A54" i="12"/>
  <c r="B50" i="12"/>
  <c r="F45" i="12"/>
  <c r="G41" i="12"/>
  <c r="G37" i="12"/>
  <c r="D33" i="12"/>
  <c r="E29" i="12"/>
  <c r="E25" i="12"/>
  <c r="F21" i="12"/>
  <c r="C17" i="12"/>
  <c r="C13" i="12"/>
  <c r="D9" i="12"/>
  <c r="A63" i="12"/>
  <c r="G56" i="12"/>
  <c r="B49" i="12"/>
  <c r="C42" i="12"/>
  <c r="B36" i="12"/>
  <c r="G28" i="12"/>
  <c r="A22" i="12"/>
  <c r="D15" i="12"/>
  <c r="B8" i="12"/>
  <c r="C61" i="12"/>
  <c r="D54" i="12"/>
  <c r="F47" i="12"/>
  <c r="A41" i="12"/>
  <c r="C33" i="12"/>
  <c r="A27" i="12"/>
  <c r="C20" i="12"/>
  <c r="A13" i="12"/>
  <c r="B61" i="12"/>
  <c r="G53" i="12"/>
  <c r="E47" i="12"/>
  <c r="G40" i="12"/>
  <c r="C26" i="12"/>
  <c r="G12" i="12"/>
  <c r="B26" i="12"/>
  <c r="G60" i="12"/>
  <c r="E53" i="12"/>
  <c r="B46" i="12"/>
  <c r="G32" i="12"/>
  <c r="G25" i="12"/>
  <c r="G62" i="12"/>
  <c r="F56" i="12"/>
  <c r="A49" i="12"/>
  <c r="B42" i="12"/>
  <c r="E35" i="12"/>
  <c r="F28" i="12"/>
  <c r="A21" i="12"/>
  <c r="F14" i="12"/>
  <c r="A8" i="12"/>
  <c r="F62" i="12"/>
  <c r="E55" i="12"/>
  <c r="G48" i="12"/>
  <c r="E41" i="12"/>
  <c r="C35" i="12"/>
  <c r="E28" i="12"/>
  <c r="G20" i="12"/>
  <c r="A14" i="12"/>
  <c r="G7" i="12"/>
  <c r="B33" i="12"/>
  <c r="F61" i="12"/>
  <c r="D55" i="12"/>
  <c r="F48" i="12"/>
  <c r="D41" i="12"/>
  <c r="E34" i="12"/>
  <c r="D28" i="12"/>
  <c r="F20" i="12"/>
  <c r="G13" i="12"/>
  <c r="F7" i="12"/>
  <c r="E61" i="12"/>
  <c r="F54" i="12"/>
  <c r="E48" i="12"/>
  <c r="C41" i="12"/>
  <c r="D34" i="12"/>
  <c r="C28" i="12"/>
  <c r="E20" i="12"/>
  <c r="F13" i="12"/>
  <c r="A7" i="12"/>
  <c r="B20" i="12"/>
  <c r="A61" i="12"/>
  <c r="F53" i="12"/>
  <c r="G46" i="12"/>
  <c r="F40" i="12"/>
  <c r="A33" i="12"/>
  <c r="A20" i="12"/>
  <c r="F12" i="12"/>
  <c r="D61" i="12"/>
  <c r="E54" i="12"/>
  <c r="D48" i="12"/>
  <c r="B41" i="12"/>
  <c r="C34" i="12"/>
  <c r="B27" i="12"/>
  <c r="D20" i="12"/>
  <c r="B13" i="12"/>
  <c r="E40" i="12"/>
  <c r="N8" i="3"/>
  <c r="A25" i="11"/>
  <c r="G36" i="11"/>
  <c r="D45" i="11"/>
  <c r="E70" i="11"/>
  <c r="C93" i="11"/>
  <c r="C16" i="12"/>
  <c r="D38" i="12"/>
  <c r="A65" i="12"/>
  <c r="O8" i="3"/>
  <c r="E92" i="11"/>
  <c r="B88" i="11"/>
  <c r="C84" i="11"/>
  <c r="C80" i="11"/>
  <c r="D76" i="11"/>
  <c r="A72" i="11"/>
  <c r="B68" i="11"/>
  <c r="B64" i="11"/>
  <c r="F59" i="11"/>
  <c r="G55" i="11"/>
  <c r="G51" i="11"/>
  <c r="A48" i="11"/>
  <c r="F43" i="11"/>
  <c r="A40" i="11"/>
  <c r="B36" i="11"/>
  <c r="D32" i="11"/>
  <c r="C28" i="11"/>
  <c r="E24" i="11"/>
  <c r="F20" i="11"/>
  <c r="A17" i="11"/>
  <c r="G12" i="11"/>
  <c r="B9" i="11"/>
  <c r="B94" i="11"/>
  <c r="C90" i="11"/>
  <c r="C86" i="11"/>
  <c r="G81" i="11"/>
  <c r="A78" i="11"/>
  <c r="A74" i="11"/>
  <c r="B70" i="11"/>
  <c r="F65" i="11"/>
  <c r="G61" i="11"/>
  <c r="G57" i="11"/>
  <c r="D53" i="11"/>
  <c r="E49" i="11"/>
  <c r="E45" i="11"/>
  <c r="G41" i="11"/>
  <c r="F37" i="11"/>
  <c r="A34" i="11"/>
  <c r="B30" i="11"/>
  <c r="D26" i="11"/>
  <c r="C22" i="11"/>
  <c r="E18" i="11"/>
  <c r="G14" i="11"/>
  <c r="A11" i="11"/>
  <c r="B90" i="11"/>
  <c r="G83" i="11"/>
  <c r="A77" i="11"/>
  <c r="C69" i="11"/>
  <c r="D62" i="11"/>
  <c r="C56" i="11"/>
  <c r="A49" i="11"/>
  <c r="C42" i="11"/>
  <c r="D36" i="11"/>
  <c r="E29" i="11"/>
  <c r="A23" i="11"/>
  <c r="F16" i="11"/>
  <c r="C10" i="11"/>
  <c r="C95" i="11"/>
  <c r="B89" i="11"/>
  <c r="D81" i="11"/>
  <c r="E74" i="11"/>
  <c r="D68" i="11"/>
  <c r="B61" i="11"/>
  <c r="B47" i="11"/>
  <c r="G33" i="11"/>
  <c r="G27" i="11"/>
  <c r="D21" i="11"/>
  <c r="D14" i="11"/>
  <c r="B95" i="11"/>
  <c r="A89" i="11"/>
  <c r="C81" i="11"/>
  <c r="D74" i="11"/>
  <c r="F67" i="11"/>
  <c r="A47" i="11"/>
  <c r="E40" i="11"/>
  <c r="F33" i="11"/>
  <c r="A27" i="11"/>
  <c r="C14" i="11"/>
  <c r="G87" i="11"/>
  <c r="B81" i="11"/>
  <c r="E67" i="11"/>
  <c r="G60" i="11"/>
  <c r="D40" i="11"/>
  <c r="G26" i="11"/>
  <c r="B14" i="11"/>
  <c r="G89" i="11"/>
  <c r="A83" i="11"/>
  <c r="G76" i="11"/>
  <c r="B69" i="11"/>
  <c r="C62" i="11"/>
  <c r="B56" i="11"/>
  <c r="G48" i="11"/>
  <c r="B42" i="11"/>
  <c r="G35" i="11"/>
  <c r="D29" i="11"/>
  <c r="B22" i="11"/>
  <c r="E16" i="11"/>
  <c r="F9" i="11"/>
  <c r="F89" i="11"/>
  <c r="G82" i="11"/>
  <c r="F76" i="11"/>
  <c r="A69" i="11"/>
  <c r="B62" i="11"/>
  <c r="E55" i="11"/>
  <c r="F48" i="11"/>
  <c r="F41" i="11"/>
  <c r="F35" i="11"/>
  <c r="C29" i="11"/>
  <c r="A22" i="11"/>
  <c r="D15" i="11"/>
  <c r="E9" i="11"/>
  <c r="F40" i="11"/>
  <c r="C53" i="11"/>
  <c r="C46" i="11"/>
  <c r="E89" i="11"/>
  <c r="F82" i="11"/>
  <c r="E75" i="11"/>
  <c r="G68" i="11"/>
  <c r="E61" i="11"/>
  <c r="C55" i="11"/>
  <c r="E48" i="11"/>
  <c r="B41" i="11"/>
  <c r="E34" i="11"/>
  <c r="B29" i="11"/>
  <c r="G21" i="11"/>
  <c r="C15" i="11"/>
  <c r="D9" i="11"/>
  <c r="D89" i="11"/>
  <c r="F81" i="11"/>
  <c r="D75" i="11"/>
  <c r="F68" i="11"/>
  <c r="D61" i="11"/>
  <c r="E54" i="11"/>
  <c r="D48" i="11"/>
  <c r="A41" i="11"/>
  <c r="D34" i="11"/>
  <c r="E28" i="11"/>
  <c r="F21" i="11"/>
  <c r="B15" i="11"/>
  <c r="C54" i="11"/>
  <c r="A61" i="11"/>
  <c r="C21" i="11"/>
  <c r="D94" i="11"/>
  <c r="G73" i="11"/>
  <c r="B53" i="11"/>
  <c r="B21" i="11"/>
  <c r="C89" i="11"/>
  <c r="E81" i="11"/>
  <c r="F74" i="11"/>
  <c r="E68" i="11"/>
  <c r="C61" i="11"/>
  <c r="D54" i="11"/>
  <c r="C48" i="11"/>
  <c r="G40" i="11"/>
  <c r="C34" i="11"/>
  <c r="A28" i="11"/>
  <c r="E21" i="11"/>
  <c r="F14" i="11"/>
  <c r="E33" i="11"/>
  <c r="A6" i="11"/>
  <c r="A37" i="11"/>
  <c r="F70" i="11"/>
  <c r="C39" i="12"/>
  <c r="N14" i="3"/>
  <c r="G13" i="11"/>
  <c r="N58" i="3"/>
  <c r="N63" i="3"/>
  <c r="B26" i="11"/>
  <c r="E37" i="11"/>
  <c r="G49" i="11"/>
  <c r="E60" i="11"/>
  <c r="A94" i="11"/>
  <c r="G43" i="12"/>
  <c r="O37" i="3"/>
  <c r="E17" i="11"/>
  <c r="A38" i="11"/>
  <c r="B73" i="11"/>
  <c r="G17" i="11"/>
  <c r="F26" i="11"/>
  <c r="B50" i="11"/>
  <c r="F63" i="11"/>
  <c r="C73" i="11"/>
  <c r="C8" i="12"/>
  <c r="F17" i="12"/>
  <c r="D31" i="12"/>
  <c r="E44" i="12"/>
  <c r="C57" i="12"/>
  <c r="G85" i="11"/>
  <c r="N30" i="2"/>
  <c r="B18" i="11"/>
  <c r="G29" i="11"/>
  <c r="D39" i="11"/>
  <c r="E51" i="11"/>
  <c r="D64" i="11"/>
  <c r="E73" i="11"/>
  <c r="A86" i="11"/>
  <c r="B9" i="12"/>
  <c r="B19" i="12"/>
  <c r="B32" i="12"/>
  <c r="A45" i="12"/>
  <c r="F57" i="12"/>
  <c r="O54" i="3"/>
  <c r="N54" i="3"/>
  <c r="C18" i="11"/>
  <c r="A30" i="11"/>
  <c r="E39" i="11"/>
  <c r="B52" i="11"/>
  <c r="E64" i="11"/>
  <c r="F73" i="11"/>
  <c r="B86" i="11"/>
  <c r="C9" i="12"/>
  <c r="C19" i="12"/>
  <c r="D32" i="12"/>
  <c r="B45" i="12"/>
  <c r="G57" i="12"/>
  <c r="O27" i="3"/>
  <c r="N43" i="3"/>
  <c r="D18" i="11"/>
  <c r="E30" i="11"/>
  <c r="C40" i="11"/>
  <c r="D52" i="11"/>
  <c r="F64" i="11"/>
  <c r="B77" i="11"/>
  <c r="E86" i="11"/>
  <c r="F9" i="12"/>
  <c r="B22" i="12"/>
  <c r="E32" i="12"/>
  <c r="C45" i="12"/>
  <c r="C58" i="12"/>
  <c r="B24" i="11"/>
  <c r="D57" i="11"/>
  <c r="G79" i="11"/>
  <c r="E12" i="12"/>
  <c r="F37" i="12"/>
  <c r="E64" i="12"/>
  <c r="C24" i="11"/>
  <c r="A80" i="11"/>
  <c r="B38" i="12"/>
  <c r="N26" i="2"/>
  <c r="F36" i="11"/>
  <c r="F57" i="11"/>
  <c r="F80" i="11"/>
  <c r="B16" i="12"/>
  <c r="C38" i="12"/>
  <c r="G64" i="12"/>
  <c r="G80" i="11"/>
  <c r="C52" i="12"/>
  <c r="B25" i="11"/>
  <c r="A81" i="11"/>
  <c r="D52" i="12"/>
  <c r="B37" i="11"/>
  <c r="B46" i="11"/>
  <c r="D58" i="11"/>
  <c r="E71" i="11"/>
  <c r="E93" i="11"/>
  <c r="F16" i="12"/>
  <c r="C29" i="12"/>
  <c r="D39" i="12"/>
  <c r="B53" i="12"/>
  <c r="A66" i="12"/>
  <c r="E84" i="11"/>
  <c r="N28" i="2"/>
  <c r="A26" i="11"/>
  <c r="D59" i="11"/>
  <c r="F84" i="11"/>
  <c r="A17" i="12"/>
  <c r="F43" i="12"/>
  <c r="C66" i="12"/>
  <c r="E7" i="2"/>
  <c r="C26" i="11"/>
  <c r="A50" i="11"/>
  <c r="A85" i="11"/>
  <c r="E17" i="12"/>
  <c r="B30" i="12"/>
  <c r="D44" i="12"/>
  <c r="B57" i="12"/>
  <c r="A18" i="11"/>
  <c r="F38" i="11"/>
  <c r="G63" i="11"/>
  <c r="G17" i="12"/>
  <c r="E57" i="12"/>
  <c r="D42" i="11"/>
  <c r="A65" i="11"/>
  <c r="G9" i="12"/>
  <c r="D45" i="12"/>
  <c r="N22" i="3"/>
  <c r="O49" i="3"/>
  <c r="N49" i="3"/>
  <c r="D10" i="11"/>
  <c r="A19" i="11"/>
  <c r="G30" i="11"/>
  <c r="C43" i="11"/>
  <c r="F52" i="11"/>
  <c r="B65" i="11"/>
  <c r="E77" i="11"/>
  <c r="A87" i="11"/>
  <c r="A10" i="12"/>
  <c r="B23" i="12"/>
  <c r="C36" i="12"/>
  <c r="E45" i="12"/>
  <c r="E58" i="12"/>
  <c r="C92" i="11"/>
  <c r="F50" i="12"/>
  <c r="A70" i="11"/>
  <c r="G24" i="11"/>
  <c r="C45" i="11"/>
  <c r="D70" i="11"/>
  <c r="A93" i="11"/>
  <c r="C25" i="12"/>
  <c r="F51" i="12"/>
  <c r="D25" i="12"/>
  <c r="F13" i="11"/>
  <c r="G45" i="11"/>
  <c r="D93" i="11"/>
  <c r="A29" i="12"/>
  <c r="C37" i="11"/>
  <c r="F71" i="11"/>
  <c r="G16" i="12"/>
  <c r="C53" i="12"/>
  <c r="D17" i="11"/>
  <c r="D72" i="11"/>
  <c r="B17" i="12"/>
  <c r="A30" i="12"/>
  <c r="A57" i="12"/>
  <c r="F66" i="12"/>
  <c r="F60" i="11"/>
  <c r="E38" i="11"/>
  <c r="B50" i="2"/>
  <c r="N59" i="3"/>
  <c r="F29" i="11"/>
  <c r="D51" i="11"/>
  <c r="D73" i="11"/>
  <c r="D8" i="12"/>
  <c r="E31" i="12"/>
  <c r="F44" i="12"/>
  <c r="G18" i="11"/>
  <c r="F30" i="11"/>
  <c r="E52" i="11"/>
  <c r="C77" i="11"/>
  <c r="F86" i="11"/>
  <c r="C22" i="12"/>
  <c r="F32" i="12"/>
  <c r="D58" i="12"/>
  <c r="O28" i="3"/>
  <c r="N28" i="3"/>
  <c r="E10" i="11"/>
  <c r="B19" i="11"/>
  <c r="E31" i="11"/>
  <c r="D43" i="11"/>
  <c r="G52" i="11"/>
  <c r="C65" i="11"/>
  <c r="F77" i="11"/>
  <c r="F87" i="11"/>
  <c r="G10" i="12"/>
  <c r="C23" i="12"/>
  <c r="D36" i="12"/>
  <c r="A46" i="12"/>
  <c r="G59" i="12"/>
  <c r="C58" i="11"/>
  <c r="D16" i="12"/>
  <c r="G65" i="12"/>
  <c r="C25" i="11"/>
  <c r="A84" i="11"/>
  <c r="A14" i="11"/>
  <c r="D25" i="11"/>
  <c r="C49" i="11"/>
  <c r="C59" i="11"/>
  <c r="F93" i="11"/>
  <c r="D29" i="12"/>
  <c r="D42" i="12"/>
  <c r="B66" i="12"/>
  <c r="C17" i="11"/>
  <c r="D37" i="11"/>
  <c r="D49" i="11"/>
  <c r="C72" i="11"/>
  <c r="G93" i="11"/>
  <c r="G29" i="12"/>
  <c r="D53" i="12"/>
  <c r="G84" i="11"/>
  <c r="F85" i="11"/>
  <c r="H17" i="2"/>
  <c r="F10" i="11"/>
  <c r="C20" i="11"/>
  <c r="F31" i="11"/>
  <c r="A44" i="11"/>
  <c r="A53" i="11"/>
  <c r="D65" i="11"/>
  <c r="G77" i="11"/>
  <c r="E90" i="11"/>
  <c r="A11" i="12"/>
  <c r="G23" i="12"/>
  <c r="E36" i="12"/>
  <c r="C49" i="12"/>
  <c r="A60" i="12"/>
  <c r="O34" i="3"/>
  <c r="G10" i="11"/>
  <c r="D20" i="11"/>
  <c r="F32" i="11"/>
  <c r="B44" i="11"/>
  <c r="D56" i="11"/>
  <c r="E65" i="11"/>
  <c r="C78" i="11"/>
  <c r="F90" i="11"/>
  <c r="E11" i="12"/>
  <c r="A24" i="12"/>
  <c r="F36" i="12"/>
  <c r="A50" i="12"/>
  <c r="F60" i="12"/>
  <c r="N15" i="3"/>
  <c r="O20" i="3"/>
  <c r="N20" i="3"/>
  <c r="O25" i="3"/>
  <c r="N45" i="3"/>
  <c r="O55" i="3"/>
  <c r="N55" i="3"/>
  <c r="N50" i="3"/>
  <c r="E55" i="2"/>
  <c r="E95" i="11"/>
  <c r="C63" i="12"/>
  <c r="O64" i="3"/>
  <c r="N64" i="3"/>
  <c r="O9" i="3"/>
  <c r="N30" i="3"/>
  <c r="N35" i="3"/>
  <c r="O11" i="3"/>
  <c r="N11" i="3"/>
  <c r="B55" i="2"/>
  <c r="D7" i="11"/>
  <c r="B11" i="11"/>
  <c r="A15" i="11"/>
  <c r="F18" i="11"/>
  <c r="G22" i="11"/>
  <c r="E26" i="11"/>
  <c r="D30" i="11"/>
  <c r="B34" i="11"/>
  <c r="G37" i="11"/>
  <c r="A42" i="11"/>
  <c r="F45" i="11"/>
  <c r="F49" i="11"/>
  <c r="E53" i="11"/>
  <c r="A58" i="11"/>
  <c r="A62" i="11"/>
  <c r="G65" i="11"/>
  <c r="C70" i="11"/>
  <c r="B74" i="11"/>
  <c r="B78" i="11"/>
  <c r="E82" i="11"/>
  <c r="D86" i="11"/>
  <c r="D90" i="11"/>
  <c r="C94" i="11"/>
  <c r="E9" i="12"/>
  <c r="E13" i="12"/>
  <c r="D17" i="12"/>
  <c r="G21" i="12"/>
  <c r="F25" i="12"/>
  <c r="F29" i="12"/>
  <c r="E33" i="12"/>
  <c r="A38" i="12"/>
  <c r="A42" i="12"/>
  <c r="G45" i="12"/>
  <c r="C50" i="12"/>
  <c r="B54" i="12"/>
  <c r="B58" i="12"/>
  <c r="E62" i="12"/>
  <c r="E66" i="12"/>
  <c r="A8" i="11"/>
  <c r="G11" i="11"/>
  <c r="E15" i="11"/>
  <c r="F19" i="11"/>
  <c r="D23" i="11"/>
  <c r="C27" i="11"/>
  <c r="A31" i="11"/>
  <c r="F34" i="11"/>
  <c r="G38" i="11"/>
  <c r="E42" i="11"/>
  <c r="D46" i="11"/>
  <c r="C50" i="11"/>
  <c r="F54" i="11"/>
  <c r="F58" i="11"/>
  <c r="E62" i="11"/>
  <c r="A67" i="11"/>
  <c r="G70" i="11"/>
  <c r="G74" i="11"/>
  <c r="F78" i="11"/>
  <c r="B83" i="11"/>
  <c r="B87" i="11"/>
  <c r="A91" i="11"/>
  <c r="D95" i="11"/>
  <c r="O42" i="3"/>
  <c r="N42" i="3"/>
  <c r="B8" i="11"/>
  <c r="A12" i="11"/>
  <c r="F15" i="11"/>
  <c r="G19" i="11"/>
  <c r="E23" i="11"/>
  <c r="D27" i="11"/>
  <c r="B31" i="11"/>
  <c r="G34" i="11"/>
  <c r="A39" i="11"/>
  <c r="F42" i="11"/>
  <c r="E46" i="11"/>
  <c r="D50" i="11"/>
  <c r="G54" i="11"/>
  <c r="G58" i="11"/>
  <c r="F62" i="11"/>
  <c r="B67" i="11"/>
  <c r="A71" i="11"/>
  <c r="A75" i="11"/>
  <c r="D79" i="11"/>
  <c r="C83" i="11"/>
  <c r="C87" i="11"/>
  <c r="B91" i="11"/>
  <c r="D10" i="12"/>
  <c r="C14" i="12"/>
  <c r="F18" i="12"/>
  <c r="E22" i="12"/>
  <c r="E26" i="12"/>
  <c r="D30" i="12"/>
  <c r="G34" i="12"/>
  <c r="G38" i="12"/>
  <c r="F42" i="12"/>
  <c r="B47" i="12"/>
  <c r="A51" i="12"/>
  <c r="A55" i="12"/>
  <c r="D59" i="12"/>
  <c r="A95" i="11"/>
  <c r="G91" i="11"/>
  <c r="F88" i="11"/>
  <c r="E85" i="11"/>
  <c r="D82" i="11"/>
  <c r="C79" i="11"/>
  <c r="B76" i="11"/>
  <c r="A73" i="11"/>
  <c r="G69" i="11"/>
  <c r="F66" i="11"/>
  <c r="E63" i="11"/>
  <c r="D60" i="11"/>
  <c r="C57" i="11"/>
  <c r="B54" i="11"/>
  <c r="A51" i="11"/>
  <c r="G47" i="11"/>
  <c r="F44" i="11"/>
  <c r="E41" i="11"/>
  <c r="D38" i="11"/>
  <c r="C35" i="11"/>
  <c r="B32" i="11"/>
  <c r="A29" i="11"/>
  <c r="G25" i="11"/>
  <c r="F22" i="11"/>
  <c r="E19" i="11"/>
  <c r="D16" i="11"/>
  <c r="C13" i="11"/>
  <c r="B10" i="11"/>
  <c r="A7" i="11"/>
  <c r="G94" i="11"/>
  <c r="F91" i="11"/>
  <c r="E88" i="11"/>
  <c r="D85" i="11"/>
  <c r="C82" i="11"/>
  <c r="B79" i="11"/>
  <c r="A76" i="11"/>
  <c r="G72" i="11"/>
  <c r="F69" i="11"/>
  <c r="E66" i="11"/>
  <c r="D63" i="11"/>
  <c r="C60" i="11"/>
  <c r="B57" i="11"/>
  <c r="A54" i="11"/>
  <c r="G50" i="11"/>
  <c r="F47" i="11"/>
  <c r="E44" i="11"/>
  <c r="D41" i="11"/>
  <c r="C38" i="11"/>
  <c r="B35" i="11"/>
  <c r="A32" i="11"/>
  <c r="G28" i="11"/>
  <c r="F25" i="11"/>
  <c r="E22" i="11"/>
  <c r="D19" i="11"/>
  <c r="C16" i="11"/>
  <c r="B13" i="11"/>
  <c r="A10" i="11"/>
  <c r="G6" i="11"/>
  <c r="D91" i="11"/>
  <c r="B85" i="11"/>
  <c r="A82" i="11"/>
  <c r="F75" i="11"/>
  <c r="E72" i="11"/>
  <c r="C66" i="11"/>
  <c r="B63" i="11"/>
  <c r="G56" i="11"/>
  <c r="F53" i="11"/>
  <c r="D47" i="11"/>
  <c r="F94" i="11"/>
  <c r="E91" i="11"/>
  <c r="D88" i="11"/>
  <c r="C85" i="11"/>
  <c r="B82" i="11"/>
  <c r="A79" i="11"/>
  <c r="G75" i="11"/>
  <c r="F72" i="11"/>
  <c r="E69" i="11"/>
  <c r="D66" i="11"/>
  <c r="C63" i="11"/>
  <c r="B60" i="11"/>
  <c r="A57" i="11"/>
  <c r="G53" i="11"/>
  <c r="F50" i="11"/>
  <c r="E47" i="11"/>
  <c r="D44" i="11"/>
  <c r="C41" i="11"/>
  <c r="B38" i="11"/>
  <c r="A35" i="11"/>
  <c r="G31" i="11"/>
  <c r="F28" i="11"/>
  <c r="E25" i="11"/>
  <c r="D22" i="11"/>
  <c r="C19" i="11"/>
  <c r="B16" i="11"/>
  <c r="A13" i="11"/>
  <c r="G9" i="11"/>
  <c r="F6" i="11"/>
  <c r="E94" i="11"/>
  <c r="C88" i="11"/>
  <c r="G78" i="11"/>
  <c r="D69" i="11"/>
  <c r="A60" i="11"/>
  <c r="E50" i="11"/>
  <c r="B93" i="11"/>
  <c r="A90" i="11"/>
  <c r="G86" i="11"/>
  <c r="F83" i="11"/>
  <c r="E80" i="11"/>
  <c r="D77" i="11"/>
  <c r="C74" i="11"/>
  <c r="B71" i="11"/>
  <c r="A68" i="11"/>
  <c r="G64" i="11"/>
  <c r="F61" i="11"/>
  <c r="E58" i="11"/>
  <c r="D55" i="11"/>
  <c r="C52" i="11"/>
  <c r="B49" i="11"/>
  <c r="A46" i="11"/>
  <c r="G42" i="11"/>
  <c r="F39" i="11"/>
  <c r="E36" i="11"/>
  <c r="D33" i="11"/>
  <c r="C30" i="11"/>
  <c r="B27" i="11"/>
  <c r="A24" i="11"/>
  <c r="G20" i="11"/>
  <c r="F17" i="11"/>
  <c r="E14" i="11"/>
  <c r="D11" i="11"/>
  <c r="C8" i="11"/>
  <c r="D8" i="11"/>
  <c r="B12" i="11"/>
  <c r="G15" i="11"/>
  <c r="A20" i="11"/>
  <c r="F23" i="11"/>
  <c r="E27" i="11"/>
  <c r="C31" i="11"/>
  <c r="D35" i="11"/>
  <c r="B39" i="11"/>
  <c r="A43" i="11"/>
  <c r="F46" i="11"/>
  <c r="B51" i="11"/>
  <c r="A55" i="11"/>
  <c r="A59" i="11"/>
  <c r="G62" i="11"/>
  <c r="C67" i="11"/>
  <c r="C71" i="11"/>
  <c r="B75" i="11"/>
  <c r="E79" i="11"/>
  <c r="D83" i="11"/>
  <c r="D87" i="11"/>
  <c r="C91" i="11"/>
  <c r="F95" i="11"/>
  <c r="F65" i="12"/>
  <c r="E65" i="12"/>
  <c r="D62" i="12"/>
  <c r="C59" i="12"/>
  <c r="B56" i="12"/>
  <c r="A53" i="12"/>
  <c r="G49" i="12"/>
  <c r="F46" i="12"/>
  <c r="E43" i="12"/>
  <c r="D40" i="12"/>
  <c r="C37" i="12"/>
  <c r="B34" i="12"/>
  <c r="A31" i="12"/>
  <c r="G27" i="12"/>
  <c r="F24" i="12"/>
  <c r="E21" i="12"/>
  <c r="D18" i="12"/>
  <c r="C15" i="12"/>
  <c r="B12" i="12"/>
  <c r="A9" i="12"/>
  <c r="D65" i="12"/>
  <c r="C62" i="12"/>
  <c r="B59" i="12"/>
  <c r="A56" i="12"/>
  <c r="G52" i="12"/>
  <c r="F49" i="12"/>
  <c r="E46" i="12"/>
  <c r="D43" i="12"/>
  <c r="C40" i="12"/>
  <c r="B37" i="12"/>
  <c r="A34" i="12"/>
  <c r="G30" i="12"/>
  <c r="F27" i="12"/>
  <c r="E24" i="12"/>
  <c r="D21" i="12"/>
  <c r="C18" i="12"/>
  <c r="B15" i="12"/>
  <c r="A12" i="12"/>
  <c r="G8" i="12"/>
  <c r="A62" i="12"/>
  <c r="G58" i="12"/>
  <c r="F55" i="12"/>
  <c r="D49" i="12"/>
  <c r="C46" i="12"/>
  <c r="A40" i="12"/>
  <c r="G36" i="12"/>
  <c r="E30" i="12"/>
  <c r="D27" i="12"/>
  <c r="B21" i="12"/>
  <c r="A18" i="12"/>
  <c r="F11" i="12"/>
  <c r="E8" i="12"/>
  <c r="C65" i="12"/>
  <c r="B62" i="12"/>
  <c r="A59" i="12"/>
  <c r="G55" i="12"/>
  <c r="F52" i="12"/>
  <c r="E49" i="12"/>
  <c r="D46" i="12"/>
  <c r="C43" i="12"/>
  <c r="B40" i="12"/>
  <c r="A37" i="12"/>
  <c r="G33" i="12"/>
  <c r="F30" i="12"/>
  <c r="E27" i="12"/>
  <c r="D24" i="12"/>
  <c r="C21" i="12"/>
  <c r="B18" i="12"/>
  <c r="A15" i="12"/>
  <c r="G11" i="12"/>
  <c r="F8" i="12"/>
  <c r="B65" i="12"/>
  <c r="E52" i="12"/>
  <c r="B43" i="12"/>
  <c r="F33" i="12"/>
  <c r="C24" i="12"/>
  <c r="G14" i="12"/>
  <c r="G66" i="12"/>
  <c r="F63" i="12"/>
  <c r="E60" i="12"/>
  <c r="D57" i="12"/>
  <c r="C54" i="12"/>
  <c r="B51" i="12"/>
  <c r="A48" i="12"/>
  <c r="G44" i="12"/>
  <c r="F41" i="12"/>
  <c r="E38" i="12"/>
  <c r="D35" i="12"/>
  <c r="C32" i="12"/>
  <c r="B29" i="12"/>
  <c r="A26" i="12"/>
  <c r="G22" i="12"/>
  <c r="F19" i="12"/>
  <c r="E16" i="12"/>
  <c r="D13" i="12"/>
  <c r="C10" i="12"/>
  <c r="B7" i="12"/>
  <c r="E8" i="11"/>
  <c r="C12" i="11"/>
  <c r="A16" i="11"/>
  <c r="B20" i="11"/>
  <c r="G23" i="11"/>
  <c r="F27" i="11"/>
  <c r="D31" i="11"/>
  <c r="E35" i="11"/>
  <c r="C39" i="11"/>
  <c r="B43" i="11"/>
  <c r="G46" i="11"/>
  <c r="C51" i="11"/>
  <c r="B55" i="11"/>
  <c r="B59" i="11"/>
  <c r="A63" i="11"/>
  <c r="D67" i="11"/>
  <c r="D71" i="11"/>
  <c r="C75" i="11"/>
  <c r="F79" i="11"/>
  <c r="E83" i="11"/>
  <c r="E87" i="11"/>
  <c r="A92" i="11"/>
  <c r="G95" i="11"/>
  <c r="F10" i="12"/>
  <c r="E14" i="12"/>
  <c r="A19" i="12"/>
  <c r="A23" i="12"/>
  <c r="G26" i="12"/>
  <c r="C31" i="12"/>
  <c r="B35" i="12"/>
  <c r="B39" i="12"/>
  <c r="A43" i="12"/>
  <c r="D47" i="12"/>
  <c r="D51" i="12"/>
  <c r="C55" i="12"/>
  <c r="F59" i="12"/>
  <c r="E63" i="12"/>
  <c r="E6" i="23"/>
  <c r="F6" i="23" s="1"/>
  <c r="A9" i="11"/>
  <c r="F12" i="11"/>
  <c r="G16" i="11"/>
  <c r="E20" i="11"/>
  <c r="D24" i="11"/>
  <c r="B28" i="11"/>
  <c r="C32" i="11"/>
  <c r="A36" i="11"/>
  <c r="G39" i="11"/>
  <c r="E43" i="11"/>
  <c r="C47" i="11"/>
  <c r="F51" i="11"/>
  <c r="F55" i="11"/>
  <c r="E59" i="11"/>
  <c r="A64" i="11"/>
  <c r="G67" i="11"/>
  <c r="G71" i="11"/>
  <c r="C76" i="11"/>
  <c r="B80" i="11"/>
  <c r="B84" i="11"/>
  <c r="A88" i="11"/>
  <c r="D92" i="11"/>
  <c r="C7" i="12"/>
  <c r="B11" i="12"/>
  <c r="E15" i="12"/>
  <c r="D19" i="12"/>
  <c r="D23" i="12"/>
  <c r="C27" i="12"/>
  <c r="F31" i="12"/>
  <c r="F35" i="12"/>
  <c r="E39" i="12"/>
  <c r="A44" i="12"/>
  <c r="G47" i="12"/>
  <c r="G51" i="12"/>
  <c r="C56" i="12"/>
  <c r="B60" i="12"/>
  <c r="B64" i="12"/>
  <c r="C9" i="11"/>
  <c r="D13" i="11"/>
  <c r="B17" i="11"/>
  <c r="A21" i="11"/>
  <c r="F24" i="11"/>
  <c r="D28" i="11"/>
  <c r="E32" i="11"/>
  <c r="C36" i="11"/>
  <c r="B40" i="11"/>
  <c r="G43" i="11"/>
  <c r="B48" i="11"/>
  <c r="A52" i="11"/>
  <c r="A56" i="11"/>
  <c r="G59" i="11"/>
  <c r="C64" i="11"/>
  <c r="C68" i="11"/>
  <c r="B72" i="11"/>
  <c r="E76" i="11"/>
  <c r="D80" i="11"/>
  <c r="D84" i="11"/>
  <c r="G88" i="11"/>
  <c r="F92" i="11"/>
  <c r="E7" i="12"/>
  <c r="D11" i="12"/>
  <c r="G15" i="12"/>
  <c r="G19" i="12"/>
  <c r="F23" i="12"/>
  <c r="B28" i="12"/>
  <c r="A32" i="12"/>
  <c r="A36" i="12"/>
  <c r="G39" i="12"/>
  <c r="C44" i="12"/>
  <c r="C48" i="12"/>
  <c r="B52" i="12"/>
  <c r="E56" i="12"/>
  <c r="D60" i="12"/>
  <c r="D64" i="12"/>
</calcChain>
</file>

<file path=xl/sharedStrings.xml><?xml version="1.0" encoding="utf-8"?>
<sst xmlns="http://schemas.openxmlformats.org/spreadsheetml/2006/main" count="3205" uniqueCount="2074">
  <si>
    <t>THE ENTERPRISE AI GOVERNANCE TOOLKIT</t>
  </si>
  <si>
    <t>One system, not three.  Operationalising the EU AI Act + NIST AI RMF + ISO/IEC 42001 convergence.</t>
  </si>
  <si>
    <t>CXO Intelligence · Governance Series · Companion to Article 4, 'Three Frameworks, One System'</t>
  </si>
  <si>
    <t>Prashant Akhawat  ·  Version 1.0, jurisdictions verified August 2026  ·  Latest version: akhawat.com/toolkits</t>
  </si>
  <si>
    <t>The article and its guidance crosswalk are archived at DOI 10.6084/m9.figshare.33137024. That DOI covers those documents; this workbook is a living tool and is versioned instead.</t>
  </si>
  <si>
    <t>THE IDEA IN ONE PARAGRAPH</t>
  </si>
  <si>
    <t>The EU AI Act, the NIST AI Risk Management Framework and ISO/IEC 42001 are not three programmes to run in parallel. They are three altitudes of one system: NIST helps you THINK about risk, ISO helps you OPERATE repeatably, and the EU AI Act tells you what you must PROVE. Run them separately and you inventory the same system three times and still leave gaps. Converge them and one control set, producing one body of evidence, satisfies all three at once. This workbook is that convergence, made operational.</t>
  </si>
  <si>
    <t>HOW THIS WORKBOOK IS WIRED</t>
  </si>
  <si>
    <t>The sheets are connected. Enter each AI system ONCE on the AI Systems tab and its risk tier, deadline and control load are derived automatically. Work the Checklist and the Gap Report, Owner View, Board Pack and Command Center all update themselves. You should never type the same fact twice.</t>
  </si>
  <si>
    <t>THE ORDER TO WORK IN</t>
  </si>
  <si>
    <t>Command Center</t>
  </si>
  <si>
    <t>Home screen. Live status across every sheet, plus a plain-English 'what to do next' that changes as you progress.</t>
  </si>
  <si>
    <t>1. AI Systems</t>
  </si>
  <si>
    <t>Start here. Every AI system including shadow AI and embedded vendor features. Answer seven questions; tier, deadline and control load are derived for you.</t>
  </si>
  <si>
    <t>2. Jurisdiction Atlas</t>
  </si>
  <si>
    <t>Mark the markets you operate in. Twenty regimes with verified dates, penalties and what each demands. Tells you which laws actually bind you.</t>
  </si>
  <si>
    <t>3. Navigator</t>
  </si>
  <si>
    <t>Seven questions for a single system, with an assembled obligation profile.</t>
  </si>
  <si>
    <t>4. Crosswalk</t>
  </si>
  <si>
    <t>The master map: 32 capabilities, each mapped to all three frameworks, with the one artifact that evidences all three.</t>
  </si>
  <si>
    <t>5. ISO AI Family</t>
  </si>
  <si>
    <t>Which companion standard fills which gap. By number, clause and intent only.</t>
  </si>
  <si>
    <t>6. Technical Controls</t>
  </si>
  <si>
    <t>OWASP LLM Top 10, agentic threats and MITRE ATLAS, mapped to the crosswalk. The depth the management frameworks leave out.</t>
  </si>
  <si>
    <t>7. Sector Overlays</t>
  </si>
  <si>
    <t>What stacks on top if you are in financial services, life sciences, insurance, HR, healthcare or the public sector.</t>
  </si>
  <si>
    <t>8. Checklist</t>
  </si>
  <si>
    <t>260 actions across 17 domains. Owner, status, target date. The engine behind most of the dashboard.</t>
  </si>
  <si>
    <t>9. Gap Report</t>
  </si>
  <si>
    <t>Auto-generated. Every open P1 foundation in order. Your backlog and audit-prep list.</t>
  </si>
  <si>
    <t>10. Owner View</t>
  </si>
  <si>
    <t>Pick a person, see everything outstanding for them.</t>
  </si>
  <si>
    <t>11. Risk Register</t>
  </si>
  <si>
    <t>One row per risk, with calculated inherent and residual ratings.</t>
  </si>
  <si>
    <t>12. Impact Assessment</t>
  </si>
  <si>
    <t>FRIA and DPIA records. EU AI Act Art. 27, ISO 42001 Clause 6, ISO/IEC 42005.</t>
  </si>
  <si>
    <t>13. Statement of Applicability</t>
  </si>
  <si>
    <t>Mandatory for ISO 42001 certification: what you apply, what you exclude, and why.</t>
  </si>
  <si>
    <t>14. Incident Log</t>
  </si>
  <si>
    <t>EU AI Act Art. 73 serious-incident record, plus near misses.</t>
  </si>
  <si>
    <t>15. Vendor Register</t>
  </si>
  <si>
    <t>Third-party and embedded AI, with contract controls and review ageing.</t>
  </si>
  <si>
    <t>16. Training Records</t>
  </si>
  <si>
    <t>AI-literacy evidence. Art. 4 is live now and was not deferred.</t>
  </si>
  <si>
    <t>17. Model Cards</t>
  </si>
  <si>
    <t>Per-model technical documentation feeding Art. 11 / Annex IV and ISO Clause 7.5.</t>
  </si>
  <si>
    <t>18. RACI</t>
  </si>
  <si>
    <t>Eighteen governance activities against fourteen roles, with a check that exactly one role is accountable.</t>
  </si>
  <si>
    <t>19. Evidence Register</t>
  </si>
  <si>
    <t>The artifact-to-control index with freshness flags. The first sheet an auditor should see.</t>
  </si>
  <si>
    <t>20. Maturity</t>
  </si>
  <si>
    <t>Ten dimensions scored 1-5, with a radar profile and the gap to the Level 3 target.</t>
  </si>
  <si>
    <t>21. Board Pack</t>
  </si>
  <si>
    <t>KPIs and KRIs on one printable page; several pull automatically.</t>
  </si>
  <si>
    <t>22. Roadmap</t>
  </si>
  <si>
    <t>The phased 30/60/90/180-day plan with an exit test per phase.</t>
  </si>
  <si>
    <t>23. Glossary</t>
  </si>
  <si>
    <t>Every term, acronym and clause reference used anywhere in this workbook, defined in place. 110 entries, filterable by category.</t>
  </si>
  <si>
    <t>24. Config</t>
  </si>
  <si>
    <t>Your owner list, feeding every Owner dropdown. Edit this first.</t>
  </si>
  <si>
    <t>25. Version Log</t>
  </si>
  <si>
    <t>Record each review, including when you last re-verified the Jurisdiction Atlas.</t>
  </si>
  <si>
    <t>READING THE COLOURS</t>
  </si>
  <si>
    <t>Pale yellow = you fill it in.     Grey = calculated, do not overtype.     Navy = headers.     Red / amber / green = status flags.</t>
  </si>
  <si>
    <t>BEFORE YOU RELY ON THIS</t>
  </si>
  <si>
    <t>Educational and operational reference, not legal advice. Every regulatory date in this workbook was verified in August 2026 and AI law moves faster than any static file: in the six months before publication Colorado repealed and replaced its AI Act, and Canada's AIDA died in Parliament without being reintroduced. Re-verify against primary sources for your jurisdiction before acting, and log the check on the Version Log tab. All ISO/IEC standards are referenced by number, clause and intent only; no normative or control text is reproduced anywhere in this workbook. Obtain licensed copies to implement against.</t>
  </si>
  <si>
    <t>VERSION, LICENCE AND TERMS</t>
  </si>
  <si>
    <t>Version 1.0. All regulatory dates and statuses in the Jurisdiction Atlas were verified in August 2026. This workbook is a living tool, not an archived publication: it is versioned rather than assigned a DOI, and the current release always lives at akhawat.com/toolkits. Check there before relying on an older copy, and record your own re-verification on the Version Log tab.</t>
  </si>
  <si>
    <t>© 2026 Prashant Akhawat. You are free to use, copy and adapt this workbook inside your own organisation, including for client work you deliver yourself. It may not be resold, redistributed as your own, or white-labelled into a commercial product or service without written permission. If you find it useful, a link back to akhawat.com is appreciated rather than required.</t>
  </si>
  <si>
    <t>Suggested citation: Akhawat, P. (2026). The Enterprise AI Governance Toolkit (v1.0). CXO Intelligence Governance Series. akhawat.com</t>
  </si>
  <si>
    <t>AI GOVERNANCE COMMAND CENTER</t>
  </si>
  <si>
    <t>Everything below updates automatically as you work the other sheets.  New here? Open the 'Start Here' tab first.</t>
  </si>
  <si>
    <t>AI PORTFOLIO</t>
  </si>
  <si>
    <t>AI SYSTEMS INVENTORIED</t>
  </si>
  <si>
    <t>HIGH-RISK SYSTEMS</t>
  </si>
  <si>
    <t>PROHIBITED FLAGGED</t>
  </si>
  <si>
    <t>total systems on record</t>
  </si>
  <si>
    <t>full regime applies</t>
  </si>
  <si>
    <t>must not be deployed</t>
  </si>
  <si>
    <t>IMPLEMENTATION PROGRESS</t>
  </si>
  <si>
    <t>OVERALL COMPLETE</t>
  </si>
  <si>
    <t>P1 FOUNDATIONS DONE</t>
  </si>
  <si>
    <t>OPEN P1 ITEMS</t>
  </si>
  <si>
    <t>of 260 checklist actions</t>
  </si>
  <si>
    <t>the 83 items that come first</t>
  </si>
  <si>
    <t>see the Gap Report tab</t>
  </si>
  <si>
    <t>MATURITY AND ATTENTION</t>
  </si>
  <si>
    <t>MATURITY LEVEL</t>
  </si>
  <si>
    <t>GAP TO LEVEL 3</t>
  </si>
  <si>
    <t>OVERDUE REVIEWS</t>
  </si>
  <si>
    <t>target is 3.0 (Defined)</t>
  </si>
  <si>
    <t>average points to close</t>
  </si>
  <si>
    <t>systems + evidence past due</t>
  </si>
  <si>
    <t>COMPLETION BY GOVERNANCE DOMAIN</t>
  </si>
  <si>
    <t>Governance Domain</t>
  </si>
  <si>
    <t>Items</t>
  </si>
  <si>
    <t>Done</t>
  </si>
  <si>
    <t>% Complete</t>
  </si>
  <si>
    <t>Governance &amp; Accountability</t>
  </si>
  <si>
    <t>Risk Management</t>
  </si>
  <si>
    <t>Security (AI-specific)</t>
  </si>
  <si>
    <t>Data Governance</t>
  </si>
  <si>
    <t>Operations &amp; Lifecycle</t>
  </si>
  <si>
    <t>Compliance &amp; Legal</t>
  </si>
  <si>
    <t>Monitoring &amp; Measurement</t>
  </si>
  <si>
    <t>Human Oversight</t>
  </si>
  <si>
    <t>Documentation &amp; Evidence</t>
  </si>
  <si>
    <t>Vendor &amp; Third-Party</t>
  </si>
  <si>
    <t>Training &amp; Competence</t>
  </si>
  <si>
    <t>Audit &amp; Assurance</t>
  </si>
  <si>
    <t>Incident &amp; Continuity</t>
  </si>
  <si>
    <t>Transparency &amp; Explainability</t>
  </si>
  <si>
    <t>Bias, Fairness &amp; Ethics</t>
  </si>
  <si>
    <t>Foundation Models &amp; Agentic AI</t>
  </si>
  <si>
    <t>Program Foundations (cross-cutting)</t>
  </si>
  <si>
    <t>WHAT TO DO NEXT</t>
  </si>
  <si>
    <t>Enterprise AI Governance Toolkit v1.0 · jurisdictions verified August 2026 · latest version always at akhawat.com/toolkits
Educational and operational reference, not legal advice. ISO/IEC standards referenced by number, clause and intent only; no normative text reproduced.
Companion to Article 4, Three Frameworks, One System. The article and its guidance crosswalk are archived at DOI 10.6084/m9.figshare.33137024 (that DOI covers the article and guide, not this workbook).
© 2026 Prashant Akhawat. Free to use and adapt inside your own organisation. Not for resale, redistribution or white-labelling without written permission.</t>
  </si>
  <si>
    <t>RISK, INCIDENTS AND THIRD PARTIES</t>
  </si>
  <si>
    <t>OPEN HIGH RISKS (15+)</t>
  </si>
  <si>
    <t>OPEN INCIDENTS</t>
  </si>
  <si>
    <t>VENDOR REVIEWS OVERDUE</t>
  </si>
  <si>
    <t>residual rating needs exec sign-off</t>
  </si>
  <si>
    <t>not yet closed</t>
  </si>
  <si>
    <t>third-party assessments past due</t>
  </si>
  <si>
    <t>JURISDICTIONS AND OBLIGATIONS</t>
  </si>
  <si>
    <t>REGIMES THAT APPLY</t>
  </si>
  <si>
    <t>REGIMES TO MONITOR</t>
  </si>
  <si>
    <t>RACI ROWS TO FIX</t>
  </si>
  <si>
    <t>binding on us today</t>
  </si>
  <si>
    <t>proposed, not yet binding</t>
  </si>
  <si>
    <t>activities lacking one owner</t>
  </si>
  <si>
    <t>AI SYSTEM INVENTORY AND AUTO-CLASSIFICATION</t>
  </si>
  <si>
    <t>Answer the questions in the yellow columns. The risk tier, deadline and control load are derived automatically.</t>
  </si>
  <si>
    <t>YELLOW = you fill in.  GREY = calculated, do not overtype.  Every other sheet reads from this one, so enter each system once, here.</t>
  </si>
  <si>
    <t>#</t>
  </si>
  <si>
    <t>System Name</t>
  </si>
  <si>
    <t>Business Purpose</t>
  </si>
  <si>
    <t>Accountable Owner</t>
  </si>
  <si>
    <t>Q1 Build or Buy</t>
  </si>
  <si>
    <t>Q2 Uses GPAI/Foundation model</t>
  </si>
  <si>
    <t>Q3 Annex III use case</t>
  </si>
  <si>
    <t>Q4 Embedded in regulated product (Annex I)</t>
  </si>
  <si>
    <t>Q5 EU market exposure</t>
  </si>
  <si>
    <t>Q6 Regulated sector</t>
  </si>
  <si>
    <t>Q7 Agentic (takes actions)</t>
  </si>
  <si>
    <t>Q8 Prohibited practice</t>
  </si>
  <si>
    <t>DERIVED Risk Tier</t>
  </si>
  <si>
    <t>Compliance Deadline</t>
  </si>
  <si>
    <t>Control Load</t>
  </si>
  <si>
    <t>Next Review Due</t>
  </si>
  <si>
    <t>Review Status</t>
  </si>
  <si>
    <t>Adverse-Event Triage Model</t>
  </si>
  <si>
    <t>Prioritises pharmacovigilance case reports</t>
  </si>
  <si>
    <t>Model Owner</t>
  </si>
  <si>
    <t>Buying</t>
  </si>
  <si>
    <t>Yes</t>
  </si>
  <si>
    <t>None</t>
  </si>
  <si>
    <t>Life sciences / GxP</t>
  </si>
  <si>
    <t>No</t>
  </si>
  <si>
    <t>2026-12-01</t>
  </si>
  <si>
    <t>GLOBAL JURISDICTION ATLAS</t>
  </si>
  <si>
    <t>Mark the markets you operate in. The regimes that bind you are then flagged, with dates and penalty exposure.</t>
  </si>
  <si>
    <t>YELLOW = mark Yes/No for 'Do we operate here'. All dates verified August 2026. AI law moves fast: re-verify against the primary source before acting, and log the check on the Version Log tab.</t>
  </si>
  <si>
    <t>Jurisdiction</t>
  </si>
  <si>
    <t>Instrument</t>
  </si>
  <si>
    <t>Type</t>
  </si>
  <si>
    <t>Status and key dates</t>
  </si>
  <si>
    <t>Who it catches</t>
  </si>
  <si>
    <t>Maximum exposure</t>
  </si>
  <si>
    <t>What you must actually do</t>
  </si>
  <si>
    <t>Satisfied by crosswalk capabilities</t>
  </si>
  <si>
    <t>Do we operate here?</t>
  </si>
  <si>
    <t>Applies to us</t>
  </si>
  <si>
    <t>European Union</t>
  </si>
  <si>
    <t>AI Act (Reg. (EU) 2024/1689), as amended by the 2026 Digital Omnibus</t>
  </si>
  <si>
    <t>Binding</t>
  </si>
  <si>
    <t>In force 1 Aug 2024. Omnibus adopted by Council 29 Jun 2026. High-risk Annex III: 2 Dec 2027. Annex I: 2 Aug 2028. Art.50 transparency + Art.4 literacy: LIVE since 2 Aug 2026. New prohibitions from 2 Dec 2026.</t>
  </si>
  <si>
    <t>Anyone placing AI on the EU market or whose AI output is used in the EU, wherever based.</t>
  </si>
  <si>
    <t>EUR 35M or 7% global turnover</t>
  </si>
  <si>
    <t>Classify every system by tier. High-risk: risk mgmt, data governance, technical documentation, logging, human oversight, accuracy/robustness/security, conformity assessment, registration. Everyone: Art.50 disclosure and Art.4 literacy now.</t>
  </si>
  <si>
    <t>ALL 32. Core: 1-14 for high-risk; 7 (Art.50) and 24-25 (Art.4) live now; 29 conformity; 31 GPAI</t>
  </si>
  <si>
    <t>United Kingdom</t>
  </si>
  <si>
    <t>Regulator-led, sector approach (no single AI Act)</t>
  </si>
  <si>
    <t>Binding via regulators</t>
  </si>
  <si>
    <t>No horizontal statute. Existing regulators (ICO, FCA, MHRA, CMA, Ofcom) apply their own remits to AI.</t>
  </si>
  <si>
    <t>Anyone regulated by a UK sector regulator.</t>
  </si>
  <si>
    <t>Per regulator regime</t>
  </si>
  <si>
    <t>Map AI use to each regulator that already governs you; expect data-protection, consumer and sector rules to bite rather than an AI act.</t>
  </si>
  <si>
    <t>1, 2, 5, 15, 23, 27, 28 - regulator remits land on existing capabilities</t>
  </si>
  <si>
    <t>Council of Europe</t>
  </si>
  <si>
    <t>Framework Convention on AI, Human Rights, Democracy and the Rule of Law</t>
  </si>
  <si>
    <t>Treaty</t>
  </si>
  <si>
    <t>Adopted 17 May 2024; opened for signature 5 Sep 2024. Enters into force after five ratifications including three CoE member states. VERIFY current ratification count.</t>
  </si>
  <si>
    <t>Parties (states); shapes national law rather than binding firms directly.</t>
  </si>
  <si>
    <t>Indirect, via national law</t>
  </si>
  <si>
    <t>Track as a leading indicator of where national law is heading, especially human-rights impact assessment duties.</t>
  </si>
  <si>
    <t>3 (impact assessment), 6, 7, 16 - human-rights framing of capabilities you already build</t>
  </si>
  <si>
    <t>United States (federal)</t>
  </si>
  <si>
    <t>No comprehensive AI statute. EO 14365 (11 Dec 2025) 'national policy framework'</t>
  </si>
  <si>
    <t>Executive policy</t>
  </si>
  <si>
    <t>No federal preemption enacted as of Jul 2026. DOJ AI Litigation Task Force from 10 Jan 2026 challenging state laws. Commerce review of 'onerous' state laws. BEAD broadband funding leverage. EO 14409 (2 Jun 2026) on AI cyber defence.</t>
  </si>
  <si>
    <t>Federal contractors; indirectly all firms via the preemption fight.</t>
  </si>
  <si>
    <t>n/a (policy, not penalty)</t>
  </si>
  <si>
    <t>Do NOT treat the preemption push as suspending any state law. Comply with state law until a statute or court actually says otherwise. Carve-outs from preemption: child safety, compute/data centres, state procurement.</t>
  </si>
  <si>
    <t>1, 23, 27, 28 - inventory and accountability; procurement adds 8, 29</t>
  </si>
  <si>
    <t>US - California</t>
  </si>
  <si>
    <t>SB 53 Transparency in Frontier AI Act; AB 2013 training-data transparency; AB 853 AI Transparency Act; CPPA ADMT regulations</t>
  </si>
  <si>
    <t>SB 53 and AB 2013 in force 1 Jan 2026. CPPA ADMT risk assessments from 1 Jan 2026; ADMT pre-use notices for significant decisions from 1 Apr 2027; first attestation 1 Apr 2028. AB 853 operative 2 Aug 2026; hosting platforms 1 Jan 2027; capture devices 1 Jan 2028.</t>
  </si>
  <si>
    <t>Frontier developers (&gt;10^26 FLOPs; 'large' = &gt;$500M revenue); CCPA-threshold businesses using ADMT; genAI developers.</t>
  </si>
  <si>
    <t>SB 53 up to $1M per violation; ADMT $2,500 unintentional / $7,500 intentional per consumer; AB 853 $5,000 per violation per day</t>
  </si>
  <si>
    <t>Frontier developers: publish a frontier AI framework and report critical safety incidents to Cal OES. ADMT users: risk assessments now, pre-use notices and opt-out/appeal by Apr 2027. GenAI: publish training-data disclosures and provenance tooling.</t>
  </si>
  <si>
    <t>7, 8, 16 (ADMT notices/appeal); 5 (training-data disclosure); 12 (incident reporting); 21-22 (frontier safety)</t>
  </si>
  <si>
    <t>US - Colorado</t>
  </si>
  <si>
    <t>SB 26-189 (replaced the 2024 Colorado AI Act, SB 24-205)</t>
  </si>
  <si>
    <t>IMPORTANT: the original 2024 AI Act was repealed and replaced. SB 26-189 signed 14 May 2026, substantive duties commence 1 Jan 2027. The old duty of care, deployer risk-management programmes and impact assessments were REMOVED.</t>
  </si>
  <si>
    <t>Developers and deployers of ADMT used in consequential decisions (incl. employment).</t>
  </si>
  <si>
    <t>AG enforcement; 90-day cure; no private right of action</t>
  </si>
  <si>
    <t>Narrower than the old law: developer disclosures to deployers (intended uses, harmful uses, training-data categories, oversight instructions), plus individual rights to access, correct and obtain human review of adverse automated decisions.</t>
  </si>
  <si>
    <t>7, 8, 16 (developer disclosures + human review of adverse decisions); 4, 14</t>
  </si>
  <si>
    <t>US - Texas</t>
  </si>
  <si>
    <t>TRAIGA, Texas Responsible AI Governance Act (HB 149)</t>
  </si>
  <si>
    <t>In force 1 Jan 2026. AG complaint mechanism due Sep 2026.</t>
  </si>
  <si>
    <t>Anyone developing or deploying AI in Texas, doing business in Texas, or serving Texas residents.</t>
  </si>
  <si>
    <t>Curable $10k-12k; uncurable $80k-200k; continuing $2k-40k per day</t>
  </si>
  <si>
    <t>Intent-based prohibitions (unlawful discrimination, behavioural manipulation, CSAM, unlawful deepfakes, constitutional-rights infringement). Adopting the NIST AI RMF gives a safe-harbour benefit. Exclusive AG enforcement, 60-day cure, no private right.</t>
  </si>
  <si>
    <t>2, 13, 14, 27 - NIST-aligned risk programme is the safe harbour; 7 for gov-facing disclosure</t>
  </si>
  <si>
    <t>US - Illinois</t>
  </si>
  <si>
    <t>HB 3773 (AI in employment decisions)</t>
  </si>
  <si>
    <t>In force 1 Jan 2026.</t>
  </si>
  <si>
    <t>Employers using AI in employment decisions.</t>
  </si>
  <si>
    <t>Human Rights Act enforcement</t>
  </si>
  <si>
    <t>Notify employees when AI is used in employment decisions; no discriminatory use, including by proxy such as zip code.</t>
  </si>
  <si>
    <t>7 (employee notice), 14 (no discriminatory or proxy use), 24</t>
  </si>
  <si>
    <t>US - New York</t>
  </si>
  <si>
    <t>RAISE Act</t>
  </si>
  <si>
    <t>Signed 19 Dec 2025; chapter amendment 27 Mar 2026; effective 1 Jan 2027. Separately, NYC Local Law 144 bias audits already apply to automated employment decision tools.</t>
  </si>
  <si>
    <t>Frontier model developers (RAISE); NYC employers using AEDTs (LL144).</t>
  </si>
  <si>
    <t>Per statute</t>
  </si>
  <si>
    <t>RAISE: safety protocols and incident reporting for frontier developers. NYC LL144: annual independent bias audit, published results, candidate notice.</t>
  </si>
  <si>
    <t>12, 21, 22 (frontier safety and incidents); LL144 adds 14 (independent bias audit) and 7</t>
  </si>
  <si>
    <t>US - Utah</t>
  </si>
  <si>
    <t>AI Policy Act (and amendments)</t>
  </si>
  <si>
    <t>In force since 2024, amended 2025.</t>
  </si>
  <si>
    <t>Businesses using generative AI with consumers, especially regulated occupations.</t>
  </si>
  <si>
    <t>Consumer-protection enforcement</t>
  </si>
  <si>
    <t>Disclose generative AI use when asked, and proactively in regulated-occupation contexts.</t>
  </si>
  <si>
    <t>7 - generative AI disclosure; 27 policy</t>
  </si>
  <si>
    <t>Canada</t>
  </si>
  <si>
    <t>No AI statute in force. PIPEDA, Quebec Law 25, OSFI Guideline E-23</t>
  </si>
  <si>
    <t>Binding (existing law)</t>
  </si>
  <si>
    <t>IMPORTANT: AIDA died with Bill C-27 on prorogation 6 Jan 2025 and has NOT been reintroduced. A successor is expected but is not law. Voluntary code of conduct for advanced generative AI applies meanwhile.</t>
  </si>
  <si>
    <t>All firms handling personal data; FRFIs for E-23.</t>
  </si>
  <si>
    <t>Privacy and sector penalties</t>
  </si>
  <si>
    <t>Do not build a programme around AIDA. Use PIPEDA and provincial law for data, Quebec Law 25 for automated-decision transparency, OSFI E-23 for model risk. For exporters, the EU AI Act is the de facto binding standard.</t>
  </si>
  <si>
    <t>5, 15 (PIPEDA); 7, 16 (Quebec Law 25 automated decisions); 2, 11, 20 (OSFI E-23 model risk)</t>
  </si>
  <si>
    <t>Brazil</t>
  </si>
  <si>
    <t>PL 2338 (AI Bill)</t>
  </si>
  <si>
    <t>Proposed</t>
  </si>
  <si>
    <t>Passed the Senate 10 Dec 2024; Chamber special committee formed Apr 2025; momentum uncertain as of mid-2026. NOT yet law.</t>
  </si>
  <si>
    <t>Would follow an EU-style risk-tiered model.</t>
  </si>
  <si>
    <t>Not yet in force</t>
  </si>
  <si>
    <t>Monitor. Meanwhile LGPD (data protection) and consumer law already apply to AI processing.</t>
  </si>
  <si>
    <t>Would map to 1-14 on an EU-style model. Build to EU now and you are ready.</t>
  </si>
  <si>
    <t>China</t>
  </si>
  <si>
    <t>Algorithm Recommendation Provisions; Deep Synthesis Provisions; Generative AI Interim Measures; AI Content Labelling Measures</t>
  </si>
  <si>
    <t>Algorithm Recommendation from Mar 2022. Deep Synthesis from Jan 2023. GenAI Interim Measures from 15 Aug 2023. Content Labelling Measures from 1 Sep 2025.</t>
  </si>
  <si>
    <t>Providers of public-facing AI services in China, including foreign firms serving Chinese users.</t>
  </si>
  <si>
    <t>Service suspension, rectification orders, fines</t>
  </si>
  <si>
    <t>Filing and security assessment with the CAC BEFORE public launch is a market-access precondition. Label AI-generated content both explicitly (visible) and implicitly (metadata). Content moderation and training-data governance obligations apply throughout.</t>
  </si>
  <si>
    <t>29 (filing and security assessment before launch); 7 (explicit + implicit labelling); 5, 13; 10 content monitoring</t>
  </si>
  <si>
    <t>South Korea</t>
  </si>
  <si>
    <t>AI Framework Act (AI Basic Act) + Enforcement Decree</t>
  </si>
  <si>
    <t>Promulgated 21 Jan 2025; in force 22 Jan 2026 together with its Enforcement Decree.</t>
  </si>
  <si>
    <t>Extraterritorial. Foreign providers above thresholds must appoint a domestic representative.</t>
  </si>
  <si>
    <t>Fines and corrective orders</t>
  </si>
  <si>
    <t>Identify 'high-impact' AI (health, energy, public services and similar): risk assessment, transparency, human oversight. Label generative AI output. Appoint a Korean representative if in scope.</t>
  </si>
  <si>
    <t>4 (high-impact identification), 2, 3, 6, 7 (genAI labelling), 28 (domestic representative)</t>
  </si>
  <si>
    <t>Japan</t>
  </si>
  <si>
    <t>AI Promotion Act</t>
  </si>
  <si>
    <t>Voluntary / promotional</t>
  </si>
  <si>
    <t>Deliberately non-binding: no penalties, governance framed as industry self-regulation.</t>
  </si>
  <si>
    <t>All AI developers and users in Japan.</t>
  </si>
  <si>
    <t>None directly</t>
  </si>
  <si>
    <t>Low direct compliance cost, but watch sector regulators layering binding rules on top. Follow METI/MIC guidelines as good practice.</t>
  </si>
  <si>
    <t>27, 28 - voluntary; use the capabilities you already have</t>
  </si>
  <si>
    <t>India</t>
  </si>
  <si>
    <t>No horizontal AI Act. India AI Governance Guidelines; IT Amendment Rules 2026; DPDP Act 2023</t>
  </si>
  <si>
    <t>Mixed</t>
  </si>
  <si>
    <t>AI Governance Guidelines (MeitY) released 5 Nov 2025, VOLUNTARY, seven sutras. IT Amendment Rules 2026 BINDING from 20 Feb 2026 (synthetically generated information). DPDP Rules phasing through May 2027.</t>
  </si>
  <si>
    <t>Intermediaries and platforms (SGI rules); all personal-data processors (DPDP); regulated sectors.</t>
  </si>
  <si>
    <t>DPDP penalties up to INR 250 crore; loss of intermediary safe harbour</t>
  </si>
  <si>
    <t>Label synthetically generated content (visible for at least 10% of duration or area) and embed provenance metadata; traceability duties for significant social-media intermediaries. DPDP consent and data-governance duties for AI training data. Sector: RBI FREE-AI for lending, SEBI for algo trading, IRDAI for insurance.</t>
  </si>
  <si>
    <t>7 (SGI labelling + provenance), 9 (traceability), 5, 15 (DPDP); sector adds 14, 16, 6</t>
  </si>
  <si>
    <t>Singapore</t>
  </si>
  <si>
    <t>Model AI Governance Framework (traditional, GenAI, Agentic)</t>
  </si>
  <si>
    <t>Voluntary</t>
  </si>
  <si>
    <t>Traditional 2019 rev. 2020; GenAI 30 May 2024; Agentic AI Jan 2026, the first framework aimed at autonomous agents. AI Verify testing toolkit alongside.</t>
  </si>
  <si>
    <t>Anyone; widely used by multinationals to harmonise APAC governance.</t>
  </si>
  <si>
    <t>None (voluntary)</t>
  </si>
  <si>
    <t>Use as the principle-level lens in your reasoning layer, especially for generative and agentic AI where it is the clearest guidance available.</t>
  </si>
  <si>
    <t>2, 3, 5, 7, 12, 13, 14, 22 (GenAI 9 dims); 6, 32 (Agentic 4 dims)</t>
  </si>
  <si>
    <t>Australia</t>
  </si>
  <si>
    <t>Voluntary AI Safety Standard; mandatory guardrails proposed</t>
  </si>
  <si>
    <t>Voluntary / proposed</t>
  </si>
  <si>
    <t>Voluntary standard published 2024; mandatory guardrails for high-risk AI consulted on and still proposed. VERIFY current status.</t>
  </si>
  <si>
    <t>All organisations deploying AI in Australia.</t>
  </si>
  <si>
    <t>Existing consumer/privacy law</t>
  </si>
  <si>
    <t>Adopt the voluntary guardrails now; they closely track the EU high-risk control set, so EU work is reusable.</t>
  </si>
  <si>
    <t>1-14 - the voluntary guardrails track the EU high-risk set closely</t>
  </si>
  <si>
    <t>Rest of world</t>
  </si>
  <si>
    <t>National strategies, OECD AI Principles, UNESCO Recommendation, G7 Hiroshima Process</t>
  </si>
  <si>
    <t>Mostly voluntary</t>
  </si>
  <si>
    <t>Widely adopted principle sets that shape national law before it arrives.</t>
  </si>
  <si>
    <t>Everyone, indirectly.</t>
  </si>
  <si>
    <t>Indirect</t>
  </si>
  <si>
    <t>If you have no local AI law, govern to the EU AI Act plus ISO/IEC 42001. That combination satisfies nearly every emerging regime and is the safest global default.</t>
  </si>
  <si>
    <t>ALL 32. EU AI Act + ISO 42001 as the default global baseline</t>
  </si>
  <si>
    <t>VERIFICATION NOTE: every date above was checked against public sources in August 2026. AI regulation changes faster than any static document. Two examples from this very table: Colorado repealed and replaced its 2024 AI Act, and Canada's AIDA died in Parliament and was never reintroduced. Re-verify against the primary source before you rely on any line here, and record the date of your check on the Version Log tab.</t>
  </si>
  <si>
    <t>THE AI GOVERNANCE NAVIGATOR</t>
  </si>
  <si>
    <t>Answer seven questions for one system. The toolkit assembles your obligation profile at the bottom.</t>
  </si>
  <si>
    <t>YELLOW = your answer. For a whole portfolio, use the AI Systems sheet instead, which classifies every system at once.</t>
  </si>
  <si>
    <t>Question</t>
  </si>
  <si>
    <t>Your Answer</t>
  </si>
  <si>
    <t>What this triggers</t>
  </si>
  <si>
    <t>Are you building the system, or buying it?</t>
  </si>
  <si>
    <t>Building → PROVIDER obligations: design, technical documentation, conformity assessment. Buying → DEPLOYER obligations: oversight, monitoring, use within intended purpose.</t>
  </si>
  <si>
    <t>Does it use a general-purpose or foundation model?</t>
  </si>
  <si>
    <t>GPAI governance: provider documentation and transparency, usage controls, evidence review. Systemic-risk duties if you are the model provider.</t>
  </si>
  <si>
    <t>Is it an Annex III high-risk use case?</t>
  </si>
  <si>
    <t>Full high-risk regime and registration. Deadline 2 December 2027.</t>
  </si>
  <si>
    <t>Is it AI embedded in a regulated product (Annex I)?</t>
  </si>
  <si>
    <t>Full high-risk regime plus the sector product rules. Deadline 2 August 2028.</t>
  </si>
  <si>
    <t>Do you have EU market exposure?</t>
  </si>
  <si>
    <t>The EU AI Act binds you regardless of where you are based. Art. 50 transparency and Art. 4 AI-literacy duties are live from 2 August 2026.</t>
  </si>
  <si>
    <t>Are you in a regulated sector?</t>
  </si>
  <si>
    <t>Sector regulation STACKS on top of the horizontal AI law. Expect stricter validation, documentation and human oversight.</t>
  </si>
  <si>
    <t>Is the system agentic (it acts, not just predicts)?</t>
  </si>
  <si>
    <t>Raise the bar: per-agent identity, least-privilege tool scoping, human-approval gates, containment and kill-switch, full action logging.</t>
  </si>
  <si>
    <t>YOUR OBLIGATION PROFILE</t>
  </si>
  <si>
    <t>THE CONVERGENCE CROSSWALK</t>
  </si>
  <si>
    <t>32 capabilities, each mapped to all three frameworks. Build ONE control per row; the evidence column satisfies all three at once.</t>
  </si>
  <si>
    <t>Reference content. NIST codes: GV Govern, MP Map, MS Measure, MG Manage. ISO shown by clause and intent only, no normative text reproduced.</t>
  </si>
  <si>
    <t>Capability</t>
  </si>
  <si>
    <t>EU AI Act (intent)</t>
  </si>
  <si>
    <t>NIST</t>
  </si>
  <si>
    <t>ISO 42001 (clause/control intent)</t>
  </si>
  <si>
    <t>Evidence that satisfies all three</t>
  </si>
  <si>
    <t>Typical Owner</t>
  </si>
  <si>
    <t>Key Artifacts</t>
  </si>
  <si>
    <t>Priority</t>
  </si>
  <si>
    <t>1</t>
  </si>
  <si>
    <t>AI System Inventory</t>
  </si>
  <si>
    <t>Registration of high-risk systems (Art. 49, 71)</t>
  </si>
  <si>
    <t>MP</t>
  </si>
  <si>
    <t>Clause 4 scope; A.2/A.6 organizational asset control</t>
  </si>
  <si>
    <t>Living inventory with per-system risk tier, owner, status</t>
  </si>
  <si>
    <t>AI Governance Lead</t>
  </si>
  <si>
    <t>Inventory register, AIBOM</t>
  </si>
  <si>
    <t>P1</t>
  </si>
  <si>
    <t>2</t>
  </si>
  <si>
    <t>Risk Assessment</t>
  </si>
  <si>
    <t>Risk management system for high-risk (Art. 9)</t>
  </si>
  <si>
    <t>MP, MS</t>
  </si>
  <si>
    <t>Clause 6.1 risk; A.5 impact-related controls</t>
  </si>
  <si>
    <t>Documented risk assessment per system, refreshed on triggers</t>
  </si>
  <si>
    <t>Risk (CRO)</t>
  </si>
  <si>
    <t>Risk register, assessment records</t>
  </si>
  <si>
    <t>3</t>
  </si>
  <si>
    <t>AI Impact Assessment</t>
  </si>
  <si>
    <t>Fundamental-rights impact assessment (Art. 27)</t>
  </si>
  <si>
    <t>Clause 6 planning; A.5 impact assessment controls</t>
  </si>
  <si>
    <t>Impact assessment covering rights, safety, affected groups</t>
  </si>
  <si>
    <t>Risk / Legal</t>
  </si>
  <si>
    <t>Impact assessment report</t>
  </si>
  <si>
    <t>4</t>
  </si>
  <si>
    <t>Risk Classification</t>
  </si>
  <si>
    <t>Risk-tier determination (Art. 6, Annex III)</t>
  </si>
  <si>
    <t>Clause 6.1; risk-based control selection</t>
  </si>
  <si>
    <t>Documented tier rationale per system</t>
  </si>
  <si>
    <t>Legal + Risk</t>
  </si>
  <si>
    <t>Classification record</t>
  </si>
  <si>
    <t>5</t>
  </si>
  <si>
    <t>Data quality &amp; governance for high-risk (Art. 10)</t>
  </si>
  <si>
    <t>A.7 data-for-AI controls</t>
  </si>
  <si>
    <t>Data lineage, quality checks, provenance, minimization records</t>
  </si>
  <si>
    <t>CDO</t>
  </si>
  <si>
    <t>Data governance policy, lineage records</t>
  </si>
  <si>
    <t>6</t>
  </si>
  <si>
    <t>Human oversight design &amp; operation (Art. 14)</t>
  </si>
  <si>
    <t>GV, MG</t>
  </si>
  <si>
    <t>Clause 5; A.9 responsible-use controls</t>
  </si>
  <si>
    <t>Oversight design per system; evidence gates are exercised</t>
  </si>
  <si>
    <t>Business Owner</t>
  </si>
  <si>
    <t>Oversight design + review logs</t>
  </si>
  <si>
    <t>7</t>
  </si>
  <si>
    <t>Transparency to Users</t>
  </si>
  <si>
    <t>Transparency obligations (Art. 13, 50)</t>
  </si>
  <si>
    <t>MP, MG</t>
  </si>
  <si>
    <t>A.8 information-to-stakeholders controls</t>
  </si>
  <si>
    <t>Disclosures, AI-interaction notices, content labelling</t>
  </si>
  <si>
    <t>Product</t>
  </si>
  <si>
    <t>Transparency notices, labels</t>
  </si>
  <si>
    <t>P2</t>
  </si>
  <si>
    <t>8</t>
  </si>
  <si>
    <t>Technical Documentation</t>
  </si>
  <si>
    <t>Technical documentation for high-risk (Art. 11, Annex IV)</t>
  </si>
  <si>
    <t>Clause 7.5 documented information</t>
  </si>
  <si>
    <t>Complete, current technical file per high-risk system</t>
  </si>
  <si>
    <t>Engineering</t>
  </si>
  <si>
    <t>Technical documentation set</t>
  </si>
  <si>
    <t>9</t>
  </si>
  <si>
    <t>Logging &amp; Traceability</t>
  </si>
  <si>
    <t>Automatic record-keeping / logs (Art. 12, 19)</t>
  </si>
  <si>
    <t>MS, MG</t>
  </si>
  <si>
    <t>Clause 8; A.6 operational controls</t>
  </si>
  <si>
    <t>Immutable logs: user, model+version, I/O, tool calls, timestamps</t>
  </si>
  <si>
    <t>Engineering / Security</t>
  </si>
  <si>
    <t>Logging spec, retained logs</t>
  </si>
  <si>
    <t>10</t>
  </si>
  <si>
    <t>Monitoring &amp; Post-Market</t>
  </si>
  <si>
    <t>Post-market monitoring (Art. 72)</t>
  </si>
  <si>
    <t>Clause 9 performance evaluation</t>
  </si>
  <si>
    <t>Continuous monitoring with defined metrics and thresholds</t>
  </si>
  <si>
    <t>Engineering / Ops</t>
  </si>
  <si>
    <t>Monitoring dashboards, reports</t>
  </si>
  <si>
    <t>11</t>
  </si>
  <si>
    <t>Model Validation &amp; Testing</t>
  </si>
  <si>
    <t>Accuracy, robustness (Art. 15)</t>
  </si>
  <si>
    <t>MS</t>
  </si>
  <si>
    <t>A.6 lifecycle controls</t>
  </si>
  <si>
    <t>Validation results, test coverage, acceptance criteria</t>
  </si>
  <si>
    <t>Engineering / Data Science</t>
  </si>
  <si>
    <t>Test reports, validation records</t>
  </si>
  <si>
    <t>12</t>
  </si>
  <si>
    <t>Incident Management</t>
  </si>
  <si>
    <t>Serious-incident reporting (Art. 73)</t>
  </si>
  <si>
    <t>MG</t>
  </si>
  <si>
    <t>Clause 10 improvement; A.6 controls</t>
  </si>
  <si>
    <t>AI-specific incident process, records, notifications</t>
  </si>
  <si>
    <t>Security / Risk</t>
  </si>
  <si>
    <t>IR playbooks, incident log</t>
  </si>
  <si>
    <t>13</t>
  </si>
  <si>
    <t>Cybersecurity for high-risk (Art. 15)</t>
  </si>
  <si>
    <t>A.6 lifecycle; general security controls</t>
  </si>
  <si>
    <t>Adversarial testing, guardrail validation, security evidence</t>
  </si>
  <si>
    <t>CISO</t>
  </si>
  <si>
    <t>Security test results</t>
  </si>
  <si>
    <t>14</t>
  </si>
  <si>
    <t>Bias &amp; Fairness</t>
  </si>
  <si>
    <t>Non-discrimination via data &amp; testing (Art. 10, 15)</t>
  </si>
  <si>
    <t>A.5 impact; A.6 lifecycle</t>
  </si>
  <si>
    <t>Bias testing across groups, mitigation records</t>
  </si>
  <si>
    <t>Data Science / Risk</t>
  </si>
  <si>
    <t>Fairness assessment</t>
  </si>
  <si>
    <t>15</t>
  </si>
  <si>
    <t>Privacy</t>
  </si>
  <si>
    <t>Interaction with GDPR; data governance (Art. 10)</t>
  </si>
  <si>
    <t>A.7 data controls; link to ISO 27701</t>
  </si>
  <si>
    <t>DPIA where applicable, privacy controls, data-subject handling</t>
  </si>
  <si>
    <t>DPO</t>
  </si>
  <si>
    <t>DPIA, privacy records</t>
  </si>
  <si>
    <t>16</t>
  </si>
  <si>
    <t>Explainability</t>
  </si>
  <si>
    <t>Interpretability supporting oversight (Art. 13, 14)</t>
  </si>
  <si>
    <t>A.8, A.9 controls</t>
  </si>
  <si>
    <t>Explainability approach appropriate to use and audience</t>
  </si>
  <si>
    <t>Data Science</t>
  </si>
  <si>
    <t>Explainability documentation</t>
  </si>
  <si>
    <t>P3</t>
  </si>
  <si>
    <t>17</t>
  </si>
  <si>
    <t>Third-Party / Vendor AI</t>
  </si>
  <si>
    <t>Provider-deployer obligations along the chain (Art. 25)</t>
  </si>
  <si>
    <t>GV, MP</t>
  </si>
  <si>
    <t>A.10 third-party &amp; supplier controls</t>
  </si>
  <si>
    <t>Vendor assessments, contractual controls, provenance</t>
  </si>
  <si>
    <t>Procurement + Risk</t>
  </si>
  <si>
    <t>Vendor assessment records</t>
  </si>
  <si>
    <t>18</t>
  </si>
  <si>
    <t>Supplier Management</t>
  </si>
  <si>
    <t>Responsibilities across the value chain (Art. 25)</t>
  </si>
  <si>
    <t>GV</t>
  </si>
  <si>
    <t>A.10 supplier controls</t>
  </si>
  <si>
    <t>Supplier due diligence, ongoing monitoring</t>
  </si>
  <si>
    <t>Procurement</t>
  </si>
  <si>
    <t>Supplier register, contracts</t>
  </si>
  <si>
    <t>19</t>
  </si>
  <si>
    <t>Model / System Retirement</t>
  </si>
  <si>
    <t>Lifecycle end handling</t>
  </si>
  <si>
    <t>Decommissioning process, data handling, records</t>
  </si>
  <si>
    <t>Retirement checklist</t>
  </si>
  <si>
    <t>20</t>
  </si>
  <si>
    <t>Drift Detection</t>
  </si>
  <si>
    <t>Ongoing accuracy under monitoring (Art. 15, 72)</t>
  </si>
  <si>
    <t>Clause 9; A.6 controls</t>
  </si>
  <si>
    <t>Drift metrics, alert thresholds, retraining triggers</t>
  </si>
  <si>
    <t>Data Science / Ops</t>
  </si>
  <si>
    <t>Drift monitoring reports</t>
  </si>
  <si>
    <t>21</t>
  </si>
  <si>
    <t>Red Teaming</t>
  </si>
  <si>
    <t>Robustness &amp; security testing (Art. 15)</t>
  </si>
  <si>
    <t>Adversarial test campaigns, findings, remediation</t>
  </si>
  <si>
    <t>Security</t>
  </si>
  <si>
    <t>Red team reports</t>
  </si>
  <si>
    <t>22</t>
  </si>
  <si>
    <t>Testing &amp; QA</t>
  </si>
  <si>
    <t>Accuracy &amp; robustness (Art. 15)</t>
  </si>
  <si>
    <t>Test strategy, coverage, results, gates</t>
  </si>
  <si>
    <t>Engineering / QA</t>
  </si>
  <si>
    <t>Test plans and results</t>
  </si>
  <si>
    <t>23</t>
  </si>
  <si>
    <t>Board Reporting</t>
  </si>
  <si>
    <t>Governance &amp; accountability (organizational)</t>
  </si>
  <si>
    <t>Clause 5 leadership; Clause 9 review</t>
  </si>
  <si>
    <t>Regular board-level AI risk and compliance reporting</t>
  </si>
  <si>
    <t>Board dashboard, minutes</t>
  </si>
  <si>
    <t>24</t>
  </si>
  <si>
    <t>Training &amp; Awareness</t>
  </si>
  <si>
    <t>AI literacy duty (Art. 4)</t>
  </si>
  <si>
    <t>Clause 7.2/7.3 competence &amp; awareness</t>
  </si>
  <si>
    <t>Role-based training records; literacy program</t>
  </si>
  <si>
    <t>HR + AI Gov</t>
  </si>
  <si>
    <t>Training records, curriculum</t>
  </si>
  <si>
    <t>25</t>
  </si>
  <si>
    <t>Competence</t>
  </si>
  <si>
    <t>AI literacy for relevant staff (Art. 4)</t>
  </si>
  <si>
    <t>Clause 7.2 competence</t>
  </si>
  <si>
    <t>Competence definitions per role, evidence held</t>
  </si>
  <si>
    <t>HR</t>
  </si>
  <si>
    <t>Competence matrix</t>
  </si>
  <si>
    <t>26</t>
  </si>
  <si>
    <t>Business Continuity</t>
  </si>
  <si>
    <t>Robustness / resilience (Art. 15)</t>
  </si>
  <si>
    <t>A.6 controls; link to ISO 22301</t>
  </si>
  <si>
    <t>Continuity plans covering AI system failure</t>
  </si>
  <si>
    <t>Ops / Risk</t>
  </si>
  <si>
    <t>BCP for AI systems</t>
  </si>
  <si>
    <t>27</t>
  </si>
  <si>
    <t>Policy Framework</t>
  </si>
  <si>
    <t>Governance foundation (organizational)</t>
  </si>
  <si>
    <t>Clause 5.2; A.2 AI policy controls</t>
  </si>
  <si>
    <t>Approved AI policy set, enforced and reviewed</t>
  </si>
  <si>
    <t>Policy documents</t>
  </si>
  <si>
    <t>28</t>
  </si>
  <si>
    <t>Roles &amp; Accountability</t>
  </si>
  <si>
    <t>Clear responsibility allocation (Art. 26)</t>
  </si>
  <si>
    <t>Clause 5.3 roles &amp; responsibilities</t>
  </si>
  <si>
    <t>RACI with single accountability per activity</t>
  </si>
  <si>
    <t>RACI matrix</t>
  </si>
  <si>
    <t>29</t>
  </si>
  <si>
    <t>Conformity Assessment</t>
  </si>
  <si>
    <t>Conformity assessment for high-risk (Art. 43)</t>
  </si>
  <si>
    <t>-</t>
  </si>
  <si>
    <t>Clause 9; external certification analogue</t>
  </si>
  <si>
    <t>Conformity records / CE marking evidence (high-risk)</t>
  </si>
  <si>
    <t>Compliance</t>
  </si>
  <si>
    <t>Conformity documentation</t>
  </si>
  <si>
    <t>30</t>
  </si>
  <si>
    <t>Continuous Improvement</t>
  </si>
  <si>
    <t>Post-market feedback loop (Art. 72)</t>
  </si>
  <si>
    <t>Clause 10 improvement</t>
  </si>
  <si>
    <t>Nonconformity handling, corrective actions, review cycle</t>
  </si>
  <si>
    <t>Improvement log</t>
  </si>
  <si>
    <t>31</t>
  </si>
  <si>
    <t>GPAI / Foundation Model Governance</t>
  </si>
  <si>
    <t>GPAI obligations (Art. 51-55)</t>
  </si>
  <si>
    <t>A.10 third-party; A.6 lifecycle</t>
  </si>
  <si>
    <t>Model documentation, usage controls, provider evidence</t>
  </si>
  <si>
    <t>Engineering + Legal</t>
  </si>
  <si>
    <t>GPAI governance records</t>
  </si>
  <si>
    <t>32</t>
  </si>
  <si>
    <t>Agentic AI Governance</t>
  </si>
  <si>
    <t>Human oversight, robustness applied to agents (Art. 14, 15)</t>
  </si>
  <si>
    <t>A.9 responsible use; A.6 lifecycle</t>
  </si>
  <si>
    <t>Agent identity, least-privilege, kill-switch, oversight</t>
  </si>
  <si>
    <t>CISO + Engineering</t>
  </si>
  <si>
    <t>Agent governance records</t>
  </si>
  <si>
    <t>THE ISO/IEC AI STANDARDS FAMILY</t>
  </si>
  <si>
    <t>Referenced by number, clause and intent only. No normative or control text is reproduced anywhere in this toolkit.</t>
  </si>
  <si>
    <t>Reference content. Obtain licensed copies of any standard you implement against. 42001 is the certifiable spine; the others fill specific gaps.</t>
  </si>
  <si>
    <t>Standard</t>
  </si>
  <si>
    <t>Status</t>
  </si>
  <si>
    <t>Intent</t>
  </si>
  <si>
    <t>Gap it fills in a converged programme</t>
  </si>
  <si>
    <t>Where it maps here</t>
  </si>
  <si>
    <t>ISO/IEC 42001:2023</t>
  </si>
  <si>
    <t>PUBLISHED · certifiable</t>
  </si>
  <si>
    <t>Requirements for an AI management system.</t>
  </si>
  <si>
    <t>The operating layer; the spine the rest of the family hangs off.</t>
  </si>
  <si>
    <t>Whole programme; Clauses 4-10 + Annex A</t>
  </si>
  <si>
    <t>ISO/IEC 42005:2025</t>
  </si>
  <si>
    <t>PUBLISHED · guidance</t>
  </si>
  <si>
    <t>How to conduct an AI system impact assessment across the lifecycle.</t>
  </si>
  <si>
    <t>42001 Clause 6 requires impact assessment but not the method; this supplies it.</t>
  </si>
  <si>
    <t>Crosswalk row 3; EU Art. 27 FRIA</t>
  </si>
  <si>
    <t>ISO/IEC 42006:2025</t>
  </si>
  <si>
    <t>PUBLISHED</t>
  </si>
  <si>
    <t>Requirements for bodies auditing and certifying AI management systems.</t>
  </si>
  <si>
    <t>Tells you what a certification body must do, hence what to prepare for.</t>
  </si>
  <si>
    <t>Crosswalk row 29; audit layer</t>
  </si>
  <si>
    <t>ISO/IEC 23894:2023</t>
  </si>
  <si>
    <t>Guidance on managing AI-related risk, aligned to ISO 31000.</t>
  </si>
  <si>
    <t>The risk-process detail beneath 42001 Clause 6.</t>
  </si>
  <si>
    <t>Crosswalk row 2; pairs with NIST Map/Measure</t>
  </si>
  <si>
    <t>ISO 31000:2018</t>
  </si>
  <si>
    <t>General risk-management principles and process.</t>
  </si>
  <si>
    <t>The enterprise-risk foundation AI risk should integrate with.</t>
  </si>
  <si>
    <t>Risk layer of the Operating Stack</t>
  </si>
  <si>
    <t>ISO/IEC 5338:2023</t>
  </si>
  <si>
    <t>AI system lifecycle processes.</t>
  </si>
  <si>
    <t>Defines the lifecycle stages governance gates attach to.</t>
  </si>
  <si>
    <t>Crosswalk rows 8-11, 19-20</t>
  </si>
  <si>
    <t>ISO/IEC 38507:2022</t>
  </si>
  <si>
    <t>Governance implications of AI for the governing body.</t>
  </si>
  <si>
    <t>The board-level accountability view above the management system.</t>
  </si>
  <si>
    <t>Crosswalk rows 23, 28; Board Pack</t>
  </si>
  <si>
    <t>ISO/IEC 12792:2025</t>
  </si>
  <si>
    <t>Transparency taxonomy for AI systems.</t>
  </si>
  <si>
    <t>Structures what transparency means, and to whom.</t>
  </si>
  <si>
    <t>Crosswalk rows 7, 16</t>
  </si>
  <si>
    <t>ISO/IEC 22989:2022</t>
  </si>
  <si>
    <t>AI concepts and terminology.</t>
  </si>
  <si>
    <t>Canonical terms so the programme speaks one language.</t>
  </si>
  <si>
    <t>Glossary / shared vocabulary</t>
  </si>
  <si>
    <t>ISO/IEC TR 24028:2020</t>
  </si>
  <si>
    <t>PUBLISHED · TR</t>
  </si>
  <si>
    <t>Overview of trustworthiness in AI.</t>
  </si>
  <si>
    <t>Shared framing for trustworthiness across the programme.</t>
  </si>
  <si>
    <t>Framing</t>
  </si>
  <si>
    <t>ISO/IEC TR 24368:2022</t>
  </si>
  <si>
    <t>Overview of ethical and societal concerns.</t>
  </si>
  <si>
    <t>Framing for ethically sensitive use review.</t>
  </si>
  <si>
    <t>Bias, Fairness &amp; Ethics domain</t>
  </si>
  <si>
    <t>ISO/IEC 27001:2022</t>
  </si>
  <si>
    <t>Information security management system requirements.</t>
  </si>
  <si>
    <t>Access control, logging, incident response, supplier management: reuse, do not rebuild.</t>
  </si>
  <si>
    <t>Security, Logging, Vendor domains</t>
  </si>
  <si>
    <t>ISO/IEC 27701:2019</t>
  </si>
  <si>
    <t>Privacy information management extension to 27001.</t>
  </si>
  <si>
    <t>Privacy controls and data-subject handling for AI data.</t>
  </si>
  <si>
    <t>Crosswalk row 15</t>
  </si>
  <si>
    <t>TECHNICAL CONTROLS: OWASP, MITRE ATLAS AND FRIENDS</t>
  </si>
  <si>
    <t>The technical depth the management frameworks deliberately leave out. Map each threat to the crosswalk capability that owns it.</t>
  </si>
  <si>
    <t>YELLOW = your status and owner. Reference lists reflect the published 2025 OWASP LLM Top 10 and MITRE ATLAS tactics; re-verify versions before formal use.</t>
  </si>
  <si>
    <t>Source</t>
  </si>
  <si>
    <t>Reference / Threat</t>
  </si>
  <si>
    <t>What it means in practice</t>
  </si>
  <si>
    <t>Mitigation to implement</t>
  </si>
  <si>
    <t>Crosswalk rows</t>
  </si>
  <si>
    <t>Owner</t>
  </si>
  <si>
    <t>OWASP LLM01</t>
  </si>
  <si>
    <t>Prompt Injection</t>
  </si>
  <si>
    <t>Attacker text (direct or via retrieved content) overrides your instructions.</t>
  </si>
  <si>
    <t>Input/output separation, instruction hierarchy, content filtering, treat retrieved docs as untrusted, adversarial testing.</t>
  </si>
  <si>
    <t>13, 21</t>
  </si>
  <si>
    <t>OWASP LLM02</t>
  </si>
  <si>
    <t>Sensitive Information Disclosure</t>
  </si>
  <si>
    <t>Model reveals PII, secrets or proprietary data in output.</t>
  </si>
  <si>
    <t>Output filtering, data minimisation in training and prompts, secrets never in context, red-team for leakage.</t>
  </si>
  <si>
    <t>5, 15</t>
  </si>
  <si>
    <t>OWASP LLM03</t>
  </si>
  <si>
    <t>Supply Chain</t>
  </si>
  <si>
    <t>Compromised models, datasets, plugins or dependencies.</t>
  </si>
  <si>
    <t>AIBOM, model provenance and signing, pin dependencies, scan for unsafe serialisation, vendor assessment.</t>
  </si>
  <si>
    <t>17, 18, 31</t>
  </si>
  <si>
    <t>OWASP LLM04</t>
  </si>
  <si>
    <t>Data and Model Poisoning</t>
  </si>
  <si>
    <t>Malicious training or fine-tuning data corrupts behaviour.</t>
  </si>
  <si>
    <t>Validate ingestion pipelines, dataset versioning and lineage, anomaly detection on training data.</t>
  </si>
  <si>
    <t>5, 14</t>
  </si>
  <si>
    <t>OWASP LLM05</t>
  </si>
  <si>
    <t>Improper Output Handling</t>
  </si>
  <si>
    <t>Model output executed downstream without validation (SQL, code, HTML).</t>
  </si>
  <si>
    <t>Treat output as untrusted input, sanitise and validate before use, least-privilege for downstream actions.</t>
  </si>
  <si>
    <t>13, 22</t>
  </si>
  <si>
    <t>OWASP LLM06</t>
  </si>
  <si>
    <t>Excessive Agency</t>
  </si>
  <si>
    <t>The system can take more action than the use case requires.</t>
  </si>
  <si>
    <t>Least-privilege tool scoping, human-approval gates for sensitive actions, containment and kill-switch.</t>
  </si>
  <si>
    <t>6, 32</t>
  </si>
  <si>
    <t>OWASP LLM07</t>
  </si>
  <si>
    <t>System Prompt Leakage</t>
  </si>
  <si>
    <t>System prompt is extracted, exposing logic or secrets.</t>
  </si>
  <si>
    <t>Never place secrets in prompts, assume the prompt is public, enforce controls server-side not in prompt text.</t>
  </si>
  <si>
    <t>9, 13</t>
  </si>
  <si>
    <t>OWASP LLM08</t>
  </si>
  <si>
    <t>Vector and Embedding Weaknesses</t>
  </si>
  <si>
    <t>RAG stores leak data across tenants or users, or are poisoned.</t>
  </si>
  <si>
    <t>Document-level permission enforcement at retrieval, tenant isolation, validate ingested content.</t>
  </si>
  <si>
    <t>5, 13</t>
  </si>
  <si>
    <t>OWASP LLM09</t>
  </si>
  <si>
    <t>Misinformation</t>
  </si>
  <si>
    <t>Confident, wrong output relied on by users or systems.</t>
  </si>
  <si>
    <t>Grounding and citation, confidence signalling, human review for consequential use, accuracy monitoring.</t>
  </si>
  <si>
    <t>10, 11, 16</t>
  </si>
  <si>
    <t>OWASP LLM10</t>
  </si>
  <si>
    <t>Unbounded Consumption</t>
  </si>
  <si>
    <t>Runaway cost or denial of service through unlimited inference.</t>
  </si>
  <si>
    <t>Rate limits, quotas, cost monitoring and alerting, timeouts on agent loops.</t>
  </si>
  <si>
    <t>10, 26</t>
  </si>
  <si>
    <t>OWASP Agentic</t>
  </si>
  <si>
    <t>Agent goal and memory manipulation</t>
  </si>
  <si>
    <t>Persistent memory or goals poisoned so the agent misbehaves later.</t>
  </si>
  <si>
    <t>Memory integrity controls, provenance on stored state, periodic memory review, session isolation.</t>
  </si>
  <si>
    <t>Multi-agent composition risk</t>
  </si>
  <si>
    <t>Agents delegate to each other and amplify a single failure.</t>
  </si>
  <si>
    <t>Map agent topology, bound delegation depth, per-agent identity and audit trail, circuit breakers.</t>
  </si>
  <si>
    <t>MITRE ATLAS</t>
  </si>
  <si>
    <t>Reconnaissance and ML model access</t>
  </si>
  <si>
    <t>Adversary probes your model to learn its behaviour and boundaries.</t>
  </si>
  <si>
    <t>Rate limiting, monitoring for probing patterns, avoid exposing logits or verbose errors.</t>
  </si>
  <si>
    <t>ML attack staging and evasion</t>
  </si>
  <si>
    <t>Adversarial examples crafted to defeat the model.</t>
  </si>
  <si>
    <t>Adversarial robustness testing, input anomaly detection, ensemble or fallback logic.</t>
  </si>
  <si>
    <t>11, 21</t>
  </si>
  <si>
    <t>Exfiltration via inference</t>
  </si>
  <si>
    <t>Training data or model weights extracted through queries.</t>
  </si>
  <si>
    <t>Query monitoring, differential privacy where appropriate, output rate and content limits.</t>
  </si>
  <si>
    <t>2, 13</t>
  </si>
  <si>
    <t>CSA AICM</t>
  </si>
  <si>
    <t>AI Controls Matrix</t>
  </si>
  <si>
    <t>Cloud-oriented AI control set mapping to CCM and common frameworks.</t>
  </si>
  <si>
    <t>Use where your AI runs on cloud; map to your existing CCM/27001 control evidence.</t>
  </si>
  <si>
    <t>4, 13</t>
  </si>
  <si>
    <t>NIST SP 800-53</t>
  </si>
  <si>
    <t>Security and privacy controls</t>
  </si>
  <si>
    <t>The federal control catalogue your security team likely already uses.</t>
  </si>
  <si>
    <t>Extend existing control implementations to AI assets rather than building parallel ones.</t>
  </si>
  <si>
    <t>13, 9</t>
  </si>
  <si>
    <t>NIST CSF 2.0</t>
  </si>
  <si>
    <t>Cybersecurity Framework</t>
  </si>
  <si>
    <t>Govern-Identify-Protect-Detect-Respond-Recover across the enterprise.</t>
  </si>
  <si>
    <t>Fold AI assets into the existing CSF profile; the Govern function pairs with AI RMF Govern.</t>
  </si>
  <si>
    <t>12, 13</t>
  </si>
  <si>
    <t>NIST AI 100-2</t>
  </si>
  <si>
    <t>Adversarial ML taxonomy</t>
  </si>
  <si>
    <t>Shared vocabulary for attack classes on AI systems.</t>
  </si>
  <si>
    <t>Use as the reference taxonomy for your red-team scope and reporting.</t>
  </si>
  <si>
    <t>SECTOR OVERLAYS: WHAT STACKS ON TOP</t>
  </si>
  <si>
    <t>Horizontal AI law is the floor. If you are regulated, these stack on top and usually demand more.</t>
  </si>
  <si>
    <t>YELLOW = whether this applies to you, and your status. Sector rules rarely replace AI law: they add to it. Map both to ONE control set using the crosswalk rows named here.</t>
  </si>
  <si>
    <t>Sector</t>
  </si>
  <si>
    <t>What it demands beyond the AI law</t>
  </si>
  <si>
    <t>Applies?</t>
  </si>
  <si>
    <t>Financial services</t>
  </si>
  <si>
    <t>US</t>
  </si>
  <si>
    <t>SR 11-7 / OCC 2011-12 model risk management</t>
  </si>
  <si>
    <t>Binding supervisory expectation</t>
  </si>
  <si>
    <t>Model inventory, independent validation, ongoing monitoring, documented model risk framework. AI models are models.</t>
  </si>
  <si>
    <t>2, 11, 20</t>
  </si>
  <si>
    <t>UK</t>
  </si>
  <si>
    <t>PRA SS1/23 model risk management</t>
  </si>
  <si>
    <t>Board-level model risk appetite, tiering, independent validation, annual attestation.</t>
  </si>
  <si>
    <t>2, 11, 23</t>
  </si>
  <si>
    <t>EU</t>
  </si>
  <si>
    <t>DORA (operational resilience)</t>
  </si>
  <si>
    <t>ICT risk management, third-party register, incident reporting, resilience testing. Covers AI vendors as ICT providers.</t>
  </si>
  <si>
    <t>12, 17, 26</t>
  </si>
  <si>
    <t>OSFI Guideline E-23 model risk</t>
  </si>
  <si>
    <t>Binding for FRFIs</t>
  </si>
  <si>
    <t>Model lifecycle governance, validation and monitoring proportionate to risk.</t>
  </si>
  <si>
    <t>2, 11</t>
  </si>
  <si>
    <t>RBI FREE-AI recommendations; SEBI algo-trading circular</t>
  </si>
  <si>
    <t>Supervisory</t>
  </si>
  <si>
    <t>Explainability for credit decisions, bias audits, no fully automated retail-credit denial without human review. Backtesting, kill-switches, audit trails for algo trading.</t>
  </si>
  <si>
    <t>6, 14, 16</t>
  </si>
  <si>
    <t>Life sciences</t>
  </si>
  <si>
    <t>FDA guidance on AI-enabled device software; Predetermined Change Control Plans</t>
  </si>
  <si>
    <t>Binding for devices</t>
  </si>
  <si>
    <t>Pre-specify the change envelope so a model can be updated without a new submission. Lifecycle validation, not one-time.</t>
  </si>
  <si>
    <t>11, 19, 20</t>
  </si>
  <si>
    <t>21 CFR Part 11 (electronic records and signatures)</t>
  </si>
  <si>
    <t>Audit trails, record integrity, e-signature controls for AI-generated GxP records.</t>
  </si>
  <si>
    <t>9, 22</t>
  </si>
  <si>
    <t>Global</t>
  </si>
  <si>
    <t>GAMP 5 (2nd edition) computerised system validation</t>
  </si>
  <si>
    <t>Industry standard</t>
  </si>
  <si>
    <t>Risk-based validation adapted for continuously learning systems; critical thinking over checkbox validation.</t>
  </si>
  <si>
    <t>11, 22</t>
  </si>
  <si>
    <t>MDR / IVDR for AI as medical device</t>
  </si>
  <si>
    <t>Conformity assessment stacks with the EU AI Act Annex I high-risk route (deadline 2 Aug 2028).</t>
  </si>
  <si>
    <t>Insurance</t>
  </si>
  <si>
    <t>NAIC model bulletin on AI use</t>
  </si>
  <si>
    <t>State-adopted guidance</t>
  </si>
  <si>
    <t>Written AI programme, governance and controls, third-party model oversight, testing for unfair discrimination.</t>
  </si>
  <si>
    <t>2, 14, 17</t>
  </si>
  <si>
    <t>IRDAI expectations on AI in underwriting and claims</t>
  </si>
  <si>
    <t>Documented bias testing; 'the AI did it' is not a defence to a discriminatory denial.</t>
  </si>
  <si>
    <t>Employment / HR</t>
  </si>
  <si>
    <t>US-NYC</t>
  </si>
  <si>
    <t>Local Law 144 (automated employment decision tools)</t>
  </si>
  <si>
    <t>Annual INDEPENDENT bias audit, publish results, notify candidates before use.</t>
  </si>
  <si>
    <t>14, 7</t>
  </si>
  <si>
    <t>US-Illinois</t>
  </si>
  <si>
    <t>HB 3773 (in force 1 Jan 2026)</t>
  </si>
  <si>
    <t>Notify employees of AI use in employment decisions; no discriminatory use including proxies such as zip code.</t>
  </si>
  <si>
    <t>7, 14</t>
  </si>
  <si>
    <t>US-Colorado</t>
  </si>
  <si>
    <t>SB 26-189 ADMT duties (from 1 Jan 2027)</t>
  </si>
  <si>
    <t>Developer disclosures; rights of access, correction and human review of adverse automated decisions.</t>
  </si>
  <si>
    <t>7, 16</t>
  </si>
  <si>
    <t>Healthcare</t>
  </si>
  <si>
    <t>HIPAA; FDA device rules where applicable</t>
  </si>
  <si>
    <t>PHI safeguards in training and inference; device pathway if the tool makes clinical claims.</t>
  </si>
  <si>
    <t>15, 29</t>
  </si>
  <si>
    <t>Public sector</t>
  </si>
  <si>
    <t>OMB memoranda on federal agency AI use</t>
  </si>
  <si>
    <t>Binding for agencies and their vendors</t>
  </si>
  <si>
    <t>AI use-case inventory, minimum practices for rights- and safety-impacting AI, named Chief AI Officer.</t>
  </si>
  <si>
    <t>1, 6, 23</t>
  </si>
  <si>
    <t>Critical infrastructure</t>
  </si>
  <si>
    <t>Multiple</t>
  </si>
  <si>
    <t>Sector resilience regimes (NIS2 in EU, sector rules elsewhere)</t>
  </si>
  <si>
    <t>Resilience, incident reporting and supply-chain duties stack on top of AI obligations.</t>
  </si>
  <si>
    <t>12, 26</t>
  </si>
  <si>
    <t>IMPLEMENTATION CHECKLIST</t>
  </si>
  <si>
    <t>260 actions across 17 domains. Set Owner, Status and Target Date. The Gap Report, Owner View and Command Center all read from here.</t>
  </si>
  <si>
    <t>YELLOW = you fill in. Start with every P1. Columns J and K are calculation helpers used by the Gap Report and Owner View, leave them alone.</t>
  </si>
  <si>
    <t>Item ID</t>
  </si>
  <si>
    <t>Domain</t>
  </si>
  <si>
    <t>Checklist Item</t>
  </si>
  <si>
    <t>Target Date</t>
  </si>
  <si>
    <t>Days Left</t>
  </si>
  <si>
    <t>Evidence / Notes</t>
  </si>
  <si>
    <t>_gapRank</t>
  </si>
  <si>
    <t>_ownRank</t>
  </si>
  <si>
    <t>GA-001</t>
  </si>
  <si>
    <t>Establish an AI governance committee with cross-functional membership</t>
  </si>
  <si>
    <t>Not Started</t>
  </si>
  <si>
    <t>GA-002</t>
  </si>
  <si>
    <t>Appoint a named AI Governance Lead with defined authority</t>
  </si>
  <si>
    <t>GA-003</t>
  </si>
  <si>
    <t>Define board-level accountability for AI risk</t>
  </si>
  <si>
    <t>GA-004</t>
  </si>
  <si>
    <t>Publish an approved enterprise AI policy</t>
  </si>
  <si>
    <t>GA-005</t>
  </si>
  <si>
    <t>Define AI governance scope and boundaries</t>
  </si>
  <si>
    <t>GA-006</t>
  </si>
  <si>
    <t>Build a RACI with single accountability per governance activity</t>
  </si>
  <si>
    <t>GA-007</t>
  </si>
  <si>
    <t>Define escalation paths for AI risk decisions</t>
  </si>
  <si>
    <t>GA-008</t>
  </si>
  <si>
    <t>Establish a model/system approval gate for high-risk AI</t>
  </si>
  <si>
    <t>GA-009</t>
  </si>
  <si>
    <t>Define decision rights: who approves deployment</t>
  </si>
  <si>
    <t>GA-010</t>
  </si>
  <si>
    <t>Integrate AI governance into enterprise risk governance</t>
  </si>
  <si>
    <t>GA-011</t>
  </si>
  <si>
    <t>Establish a governance review cadence</t>
  </si>
  <si>
    <t>GA-012</t>
  </si>
  <si>
    <t>Define exceptions and waiver process with documentation</t>
  </si>
  <si>
    <t>GA-013</t>
  </si>
  <si>
    <t>Align AI policy with existing corporate and security policies</t>
  </si>
  <si>
    <t>GA-014</t>
  </si>
  <si>
    <t>Establish conflict-resolution mechanism across functions</t>
  </si>
  <si>
    <t>GA-015</t>
  </si>
  <si>
    <t>Define governance KPIs and report them</t>
  </si>
  <si>
    <t>GA-016</t>
  </si>
  <si>
    <t>Document management commitment to the AIMS</t>
  </si>
  <si>
    <t>GA-017</t>
  </si>
  <si>
    <t>Assign resources adequate to the governance program</t>
  </si>
  <si>
    <t>GA-018</t>
  </si>
  <si>
    <t>Establish a management review process</t>
  </si>
  <si>
    <t>GA-019</t>
  </si>
  <si>
    <t>Define organizational context and interested parties</t>
  </si>
  <si>
    <t>GA-020</t>
  </si>
  <si>
    <t>Maintain a Statement of Applicability for selected controls</t>
  </si>
  <si>
    <t>RM-001</t>
  </si>
  <si>
    <t>Define an AI risk assessment methodology</t>
  </si>
  <si>
    <t>RM-002</t>
  </si>
  <si>
    <t>Maintain an AI risk register</t>
  </si>
  <si>
    <t>RM-003</t>
  </si>
  <si>
    <t>Assess risk per AI system before deployment</t>
  </si>
  <si>
    <t>RM-004</t>
  </si>
  <si>
    <t>Conduct AI system impact assessments</t>
  </si>
  <si>
    <t>RM-005</t>
  </si>
  <si>
    <t>Conduct fundamental-rights impact assessment where applicable</t>
  </si>
  <si>
    <t>RM-006</t>
  </si>
  <si>
    <t>Classify each system by EU AI Act risk tier</t>
  </si>
  <si>
    <t>RM-007</t>
  </si>
  <si>
    <t>Document classification rationale per system</t>
  </si>
  <si>
    <t>RM-008</t>
  </si>
  <si>
    <t>Define risk acceptance criteria and thresholds</t>
  </si>
  <si>
    <t>RM-009</t>
  </si>
  <si>
    <t>Define risk treatment plans per identified risk</t>
  </si>
  <si>
    <t>RM-010</t>
  </si>
  <si>
    <t>Define triggers for risk reassessment (model change, incident, drift)</t>
  </si>
  <si>
    <t>RM-011</t>
  </si>
  <si>
    <t>Integrate AI risk into enterprise risk management</t>
  </si>
  <si>
    <t>RM-012</t>
  </si>
  <si>
    <t>Assess risk of AI system interactions and dependencies</t>
  </si>
  <si>
    <t>RM-013</t>
  </si>
  <si>
    <t>Assess systemic and aggregate risk across the AI portfolio</t>
  </si>
  <si>
    <t>RM-014</t>
  </si>
  <si>
    <t>Document residual risk and formal acceptance</t>
  </si>
  <si>
    <t>RM-015</t>
  </si>
  <si>
    <t>Link risks to owners and treatment status</t>
  </si>
  <si>
    <t>RM-016</t>
  </si>
  <si>
    <t>Reassess risk on a defined periodic cycle</t>
  </si>
  <si>
    <t>RM-017</t>
  </si>
  <si>
    <t>Assess third-party and supply-chain AI risk</t>
  </si>
  <si>
    <t>RM-018</t>
  </si>
  <si>
    <t>Assess risk of foundation/GPAI model usage</t>
  </si>
  <si>
    <t>RM-019</t>
  </si>
  <si>
    <t>Assess agentic AI-specific risks</t>
  </si>
  <si>
    <t>RM-020</t>
  </si>
  <si>
    <t>Maintain risk assessment records as evidence</t>
  </si>
  <si>
    <t>S-001</t>
  </si>
  <si>
    <t>Extend the security program to cover AI systems</t>
  </si>
  <si>
    <t>S-002</t>
  </si>
  <si>
    <t>Conduct adversarial testing / red teaming of AI systems</t>
  </si>
  <si>
    <t>S-003</t>
  </si>
  <si>
    <t>Test for prompt injection (direct and indirect)</t>
  </si>
  <si>
    <t>S-004</t>
  </si>
  <si>
    <t>Validate input filtering and guardrails</t>
  </si>
  <si>
    <t>S-005</t>
  </si>
  <si>
    <t>Test output handling for downstream injection</t>
  </si>
  <si>
    <t>S-006</t>
  </si>
  <si>
    <t>Secure the model registry with least-privilege access</t>
  </si>
  <si>
    <t>S-007</t>
  </si>
  <si>
    <t>Verify model artifact integrity and signing</t>
  </si>
  <si>
    <t>S-008</t>
  </si>
  <si>
    <t>Scan models for unsafe serialization before load</t>
  </si>
  <si>
    <t>S-009</t>
  </si>
  <si>
    <t>Assess and pin AI dependencies; maintain an AIBOM</t>
  </si>
  <si>
    <t>S-010</t>
  </si>
  <si>
    <t>Check AI components against known CVEs</t>
  </si>
  <si>
    <t>S-011</t>
  </si>
  <si>
    <t>Secure vector stores and enforce access controls</t>
  </si>
  <si>
    <t>S-012</t>
  </si>
  <si>
    <t>Verify tenant isolation in shared AI systems</t>
  </si>
  <si>
    <t>S-013</t>
  </si>
  <si>
    <t>Enforce per-agent identity for agentic systems</t>
  </si>
  <si>
    <t>S-014</t>
  </si>
  <si>
    <t>Enforce least-privilege tool scoping for agents</t>
  </si>
  <si>
    <t>S-015</t>
  </si>
  <si>
    <t>Implement human-approval gates for sensitive agent actions</t>
  </si>
  <si>
    <t>S-016</t>
  </si>
  <si>
    <t>Implement and test kill-switch / containment for agents</t>
  </si>
  <si>
    <t>S-017</t>
  </si>
  <si>
    <t>Map AI threats using MITRE ATLAS</t>
  </si>
  <si>
    <t>S-018</t>
  </si>
  <si>
    <t>Assess against OWASP Top 10 for LLMs</t>
  </si>
  <si>
    <t>S-019</t>
  </si>
  <si>
    <t>Test guardrails for bypass</t>
  </si>
  <si>
    <t>S-020</t>
  </si>
  <si>
    <t>Deploy runtime monitoring for injection/exfiltration</t>
  </si>
  <si>
    <t>S-021</t>
  </si>
  <si>
    <t>Secure secrets and credentials from model/agent access</t>
  </si>
  <si>
    <t>S-022</t>
  </si>
  <si>
    <t>Assess supply-chain security of AI tooling</t>
  </si>
  <si>
    <t>S-023</t>
  </si>
  <si>
    <t>Define AI-specific security incident procedures</t>
  </si>
  <si>
    <t>S-024</t>
  </si>
  <si>
    <t>Validate fail-safe behavior of guardrails</t>
  </si>
  <si>
    <t>DG-001</t>
  </si>
  <si>
    <t>Establish data governance for AI training and operation</t>
  </si>
  <si>
    <t>DG-002</t>
  </si>
  <si>
    <t>Document data provenance and lineage</t>
  </si>
  <si>
    <t>DG-003</t>
  </si>
  <si>
    <t>Assess and document data quality</t>
  </si>
  <si>
    <t>DG-004</t>
  </si>
  <si>
    <t>Define data eligibility criteria for AI use</t>
  </si>
  <si>
    <t>DG-005</t>
  </si>
  <si>
    <t>Implement data minimization for AI</t>
  </si>
  <si>
    <t>DG-006</t>
  </si>
  <si>
    <t>Remove or protect PII in training data</t>
  </si>
  <si>
    <t>DG-007</t>
  </si>
  <si>
    <t>Assess training data for bias</t>
  </si>
  <si>
    <t>DG-008</t>
  </si>
  <si>
    <t>Version and control datasets</t>
  </si>
  <si>
    <t>DG-009</t>
  </si>
  <si>
    <t>Document data sources and licensing</t>
  </si>
  <si>
    <t>DG-010</t>
  </si>
  <si>
    <t>Enforce access controls on AI datasets</t>
  </si>
  <si>
    <t>DG-011</t>
  </si>
  <si>
    <t>Define data retention and deletion for AI data</t>
  </si>
  <si>
    <t>DG-012</t>
  </si>
  <si>
    <t>Validate data used in fine-tuning and RLHF</t>
  </si>
  <si>
    <t>DG-013</t>
  </si>
  <si>
    <t>Assess synthetic data risks where used</t>
  </si>
  <si>
    <t>DG-014</t>
  </si>
  <si>
    <t>Ensure retrieval respects document-level permissions (RAG)</t>
  </si>
  <si>
    <t>DG-015</t>
  </si>
  <si>
    <t>Validate ingestion pipelines for poisoning</t>
  </si>
  <si>
    <t>DG-016</t>
  </si>
  <si>
    <t>Maintain data governance records as evidence</t>
  </si>
  <si>
    <t>OL-001</t>
  </si>
  <si>
    <t>Define the AI system lifecycle with governance gates</t>
  </si>
  <si>
    <t>OL-002</t>
  </si>
  <si>
    <t>Define development standards for AI systems</t>
  </si>
  <si>
    <t>OL-003</t>
  </si>
  <si>
    <t>Define validation and acceptance criteria per system</t>
  </si>
  <si>
    <t>OL-004</t>
  </si>
  <si>
    <t>Define deployment approval process</t>
  </si>
  <si>
    <t>OL-005</t>
  </si>
  <si>
    <t>Implement change management for AI systems</t>
  </si>
  <si>
    <t>OL-006</t>
  </si>
  <si>
    <t>Define model versioning and release control</t>
  </si>
  <si>
    <t>OL-007</t>
  </si>
  <si>
    <t>Define rollback procedures</t>
  </si>
  <si>
    <t>OL-008</t>
  </si>
  <si>
    <t>Implement drift detection with thresholds</t>
  </si>
  <si>
    <t>OL-009</t>
  </si>
  <si>
    <t>Define retraining triggers and process</t>
  </si>
  <si>
    <t>OL-010</t>
  </si>
  <si>
    <t>Define model/system retirement process</t>
  </si>
  <si>
    <t>OL-011</t>
  </si>
  <si>
    <t>Handle data appropriately at decommissioning</t>
  </si>
  <si>
    <t>OL-012</t>
  </si>
  <si>
    <t>Maintain lifecycle records per system</t>
  </si>
  <si>
    <t>OL-013</t>
  </si>
  <si>
    <t>Define model-swap re-validation requirements</t>
  </si>
  <si>
    <t>OL-014</t>
  </si>
  <si>
    <t>Manage configuration of AI systems</t>
  </si>
  <si>
    <t>OL-015</t>
  </si>
  <si>
    <t>Define environment separation (dev/test/prod)</t>
  </si>
  <si>
    <t>OL-016</t>
  </si>
  <si>
    <t>Define release gates tied to governance approval</t>
  </si>
  <si>
    <t>OL-017</t>
  </si>
  <si>
    <t>Manage technical debt in AI systems</t>
  </si>
  <si>
    <t>OL-018</t>
  </si>
  <si>
    <t>Define capacity and resource management</t>
  </si>
  <si>
    <t>OL-019</t>
  </si>
  <si>
    <t>Document operational runbooks</t>
  </si>
  <si>
    <t>OL-020</t>
  </si>
  <si>
    <t>Define business continuity for AI systems</t>
  </si>
  <si>
    <t>CL-001</t>
  </si>
  <si>
    <t>Determine EU AI Act applicability to the enterprise</t>
  </si>
  <si>
    <t>CL-002</t>
  </si>
  <si>
    <t>Map each system to applicable obligations</t>
  </si>
  <si>
    <t>CL-003</t>
  </si>
  <si>
    <t>Determine provider vs. deployer role per system</t>
  </si>
  <si>
    <t>CL-004</t>
  </si>
  <si>
    <t>Track EU AI Act timeline and applicable deadlines</t>
  </si>
  <si>
    <t>CL-005</t>
  </si>
  <si>
    <t>Prepare conformity assessment for high-risk systems</t>
  </si>
  <si>
    <t>CL-006</t>
  </si>
  <si>
    <t>Register high-risk systems as required</t>
  </si>
  <si>
    <t>CL-007</t>
  </si>
  <si>
    <t>Implement Article 50 transparency obligations</t>
  </si>
  <si>
    <t>CL-008</t>
  </si>
  <si>
    <t>Implement the Article 4 AI-literacy duty</t>
  </si>
  <si>
    <t>CL-009</t>
  </si>
  <si>
    <t>Assess GDPR interaction and run DPIAs where needed</t>
  </si>
  <si>
    <t>CL-010</t>
  </si>
  <si>
    <t>Prepare technical documentation to Annex IV scope</t>
  </si>
  <si>
    <t>CL-011</t>
  </si>
  <si>
    <t>Establish serious-incident reporting capability</t>
  </si>
  <si>
    <t>CL-012</t>
  </si>
  <si>
    <t>Monitor regulatory change and update obligations</t>
  </si>
  <si>
    <t>CL-013</t>
  </si>
  <si>
    <t>Determine applicability of sector regulation (GxP, BFSI, etc.)</t>
  </si>
  <si>
    <t>CL-014</t>
  </si>
  <si>
    <t>Assess cross-border and multi-jurisdiction obligations</t>
  </si>
  <si>
    <t>CL-015</t>
  </si>
  <si>
    <t>Maintain a compliance evidence repository</t>
  </si>
  <si>
    <t>CL-016</t>
  </si>
  <si>
    <t>Prepare for ISO 42001 certification if pursued</t>
  </si>
  <si>
    <t>CL-017</t>
  </si>
  <si>
    <t>Conduct internal audit of the AIMS</t>
  </si>
  <si>
    <t>CL-018</t>
  </si>
  <si>
    <t>Track prohibited-practice compliance</t>
  </si>
  <si>
    <t>CL-019</t>
  </si>
  <si>
    <t>Assess GPAI provider obligations if applicable</t>
  </si>
  <si>
    <t>CL-020</t>
  </si>
  <si>
    <t>Document legal basis for AI processing</t>
  </si>
  <si>
    <t>MM-001</t>
  </si>
  <si>
    <t>Define monitoring metrics per AI system</t>
  </si>
  <si>
    <t>MM-002</t>
  </si>
  <si>
    <t>Implement performance monitoring</t>
  </si>
  <si>
    <t>MM-003</t>
  </si>
  <si>
    <t>Implement accuracy monitoring against thresholds</t>
  </si>
  <si>
    <t>MM-004</t>
  </si>
  <si>
    <t>Implement bias/fairness monitoring</t>
  </si>
  <si>
    <t>MM-005</t>
  </si>
  <si>
    <t>Implement drift monitoring</t>
  </si>
  <si>
    <t>MM-006</t>
  </si>
  <si>
    <t>Implement security/anomaly monitoring</t>
  </si>
  <si>
    <t>MM-007</t>
  </si>
  <si>
    <t>Define alerting and escalation from monitoring</t>
  </si>
  <si>
    <t>MM-008</t>
  </si>
  <si>
    <t>Implement post-market monitoring for high-risk systems</t>
  </si>
  <si>
    <t>MM-009</t>
  </si>
  <si>
    <t>Monitor cost and resource consumption</t>
  </si>
  <si>
    <t>MM-010</t>
  </si>
  <si>
    <t>Monitor agent behavior sequences</t>
  </si>
  <si>
    <t>MM-011</t>
  </si>
  <si>
    <t>Define monitoring review cadence</t>
  </si>
  <si>
    <t>MM-012</t>
  </si>
  <si>
    <t>Retain monitoring evidence</t>
  </si>
  <si>
    <t>MM-013</t>
  </si>
  <si>
    <t>Monitor third-party AI service performance</t>
  </si>
  <si>
    <t>MM-014</t>
  </si>
  <si>
    <t>Define KRIs and track them</t>
  </si>
  <si>
    <t>MM-015</t>
  </si>
  <si>
    <t>Feed monitoring insights into risk reassessment</t>
  </si>
  <si>
    <t>MM-016</t>
  </si>
  <si>
    <t>Monitor user feedback and complaints</t>
  </si>
  <si>
    <t>HO-001</t>
  </si>
  <si>
    <t>Design human oversight per high-risk system</t>
  </si>
  <si>
    <t>HO-002</t>
  </si>
  <si>
    <t>Define oversight roles and authority</t>
  </si>
  <si>
    <t>HO-003</t>
  </si>
  <si>
    <t>Ensure overseers can understand system output</t>
  </si>
  <si>
    <t>HO-004</t>
  </si>
  <si>
    <t>Ensure overseers can intervene or halt the system</t>
  </si>
  <si>
    <t>HO-005</t>
  </si>
  <si>
    <t>Define when human approval is mandatory</t>
  </si>
  <si>
    <t>HO-006</t>
  </si>
  <si>
    <t>Guard against automation bias in oversight design</t>
  </si>
  <si>
    <t>HO-007</t>
  </si>
  <si>
    <t>Provide overseers adequate information and time</t>
  </si>
  <si>
    <t>HO-008</t>
  </si>
  <si>
    <t>Train personnel performing oversight</t>
  </si>
  <si>
    <t>HO-009</t>
  </si>
  <si>
    <t>Record oversight actions and decisions</t>
  </si>
  <si>
    <t>HO-010</t>
  </si>
  <si>
    <t>Validate oversight is effective, not theatre</t>
  </si>
  <si>
    <t>HO-011</t>
  </si>
  <si>
    <t>Define oversight for agentic systems specifically</t>
  </si>
  <si>
    <t>HO-012</t>
  </si>
  <si>
    <t>Review and improve oversight mechanisms</t>
  </si>
  <si>
    <t>DE-001</t>
  </si>
  <si>
    <t>Define required documentation per system</t>
  </si>
  <si>
    <t>DE-002</t>
  </si>
  <si>
    <t>Maintain a central evidence repository</t>
  </si>
  <si>
    <t>DE-003</t>
  </si>
  <si>
    <t>Create model cards for AI systems</t>
  </si>
  <si>
    <t>DE-004</t>
  </si>
  <si>
    <t>Maintain technical documentation current</t>
  </si>
  <si>
    <t>DE-005</t>
  </si>
  <si>
    <t>Document design and development decisions</t>
  </si>
  <si>
    <t>DE-006</t>
  </si>
  <si>
    <t>Maintain the Statement of Applicability</t>
  </si>
  <si>
    <t>DE-007</t>
  </si>
  <si>
    <t>Control documented information (versioning, access)</t>
  </si>
  <si>
    <t>DE-008</t>
  </si>
  <si>
    <t>Map evidence to obligations across all instruments</t>
  </si>
  <si>
    <t>DE-009</t>
  </si>
  <si>
    <t>Define evidence retention periods</t>
  </si>
  <si>
    <t>DE-010</t>
  </si>
  <si>
    <t>Ensure evidence is audit-ready on demand</t>
  </si>
  <si>
    <t>DE-011</t>
  </si>
  <si>
    <t>Document risk and impact assessments</t>
  </si>
  <si>
    <t>DE-012</t>
  </si>
  <si>
    <t>Maintain conformity documentation</t>
  </si>
  <si>
    <t>DE-013</t>
  </si>
  <si>
    <t>Document data governance decisions</t>
  </si>
  <si>
    <t>DE-014</t>
  </si>
  <si>
    <t>Maintain an evidence index (artifact-to-control)</t>
  </si>
  <si>
    <t>DE-015</t>
  </si>
  <si>
    <t>Ensure evidence is a byproduct of operation, not retrofit</t>
  </si>
  <si>
    <t>DE-016</t>
  </si>
  <si>
    <t>Maintain records of management review</t>
  </si>
  <si>
    <t>VT-001</t>
  </si>
  <si>
    <t>Maintain a register of third-party AI systems and services</t>
  </si>
  <si>
    <t>VT-002</t>
  </si>
  <si>
    <t>Assess vendor AI security and governance</t>
  </si>
  <si>
    <t>VT-003</t>
  </si>
  <si>
    <t>Include AI-specific clauses in vendor contracts</t>
  </si>
  <si>
    <t>VT-004</t>
  </si>
  <si>
    <t>Require audit rights and incident notification</t>
  </si>
  <si>
    <t>VT-005</t>
  </si>
  <si>
    <t>Assess provider vs. deployer obligations per vendor</t>
  </si>
  <si>
    <t>VT-006</t>
  </si>
  <si>
    <t>Verify vendor model provenance</t>
  </si>
  <si>
    <t>VT-007</t>
  </si>
  <si>
    <t>Assess foundation-model provider evidence</t>
  </si>
  <si>
    <t>VT-008</t>
  </si>
  <si>
    <t>Monitor vendor performance and compliance</t>
  </si>
  <si>
    <t>VT-009</t>
  </si>
  <si>
    <t>Define vendor offboarding and data handling</t>
  </si>
  <si>
    <t>VT-010</t>
  </si>
  <si>
    <t>Assess concentration and dependency risk</t>
  </si>
  <si>
    <t>VT-011</t>
  </si>
  <si>
    <t>Verify vendor data-handling practices</t>
  </si>
  <si>
    <t>VT-012</t>
  </si>
  <si>
    <t>Include right-to-audit and evidence access</t>
  </si>
  <si>
    <t>VT-013</t>
  </si>
  <si>
    <t>Maintain vendor assessment records</t>
  </si>
  <si>
    <t>VT-014</t>
  </si>
  <si>
    <t>Assess embedded AI in procured SaaS</t>
  </si>
  <si>
    <t>TC-001</t>
  </si>
  <si>
    <t>Define AI literacy requirements per role</t>
  </si>
  <si>
    <t>TC-002</t>
  </si>
  <si>
    <t>Deliver AI literacy training to relevant staff</t>
  </si>
  <si>
    <t>TC-003</t>
  </si>
  <si>
    <t>Define competence requirements for governance roles</t>
  </si>
  <si>
    <t>TC-004</t>
  </si>
  <si>
    <t>Train developers on secure and responsible AI</t>
  </si>
  <si>
    <t>TC-005</t>
  </si>
  <si>
    <t>Train oversight personnel</t>
  </si>
  <si>
    <t>TC-006</t>
  </si>
  <si>
    <t>Train the board on AI governance</t>
  </si>
  <si>
    <t>TC-007</t>
  </si>
  <si>
    <t>Maintain training and competence records</t>
  </si>
  <si>
    <t>TC-008</t>
  </si>
  <si>
    <t>Refresh training on a defined cycle</t>
  </si>
  <si>
    <t>TC-009</t>
  </si>
  <si>
    <t>Assess training effectiveness</t>
  </si>
  <si>
    <t>TC-010</t>
  </si>
  <si>
    <t>Build role-specific curricula</t>
  </si>
  <si>
    <t>TC-011</t>
  </si>
  <si>
    <t>Onboard new staff into AI governance</t>
  </si>
  <si>
    <t>TC-012</t>
  </si>
  <si>
    <t>Maintain a competence matrix</t>
  </si>
  <si>
    <t>AA-001</t>
  </si>
  <si>
    <t>Define an internal audit program for the AIMS</t>
  </si>
  <si>
    <t>AA-002</t>
  </si>
  <si>
    <t>Conduct internal audits on a cycle</t>
  </si>
  <si>
    <t>AA-003</t>
  </si>
  <si>
    <t>Track and remediate audit findings</t>
  </si>
  <si>
    <t>AA-004</t>
  </si>
  <si>
    <t>Prepare for external certification audit if pursued</t>
  </si>
  <si>
    <t>AA-005</t>
  </si>
  <si>
    <t>Conduct management review of the AIMS</t>
  </si>
  <si>
    <t>AA-006</t>
  </si>
  <si>
    <t>Verify control effectiveness, not just existence</t>
  </si>
  <si>
    <t>AA-007</t>
  </si>
  <si>
    <t>Audit evidence completeness and currency</t>
  </si>
  <si>
    <t>AA-008</t>
  </si>
  <si>
    <t>Conduct independent AI risk review</t>
  </si>
  <si>
    <t>AA-009</t>
  </si>
  <si>
    <t>Verify third-party assurance where relied upon</t>
  </si>
  <si>
    <t>AA-010</t>
  </si>
  <si>
    <t>Maintain audit records</t>
  </si>
  <si>
    <t>AA-011</t>
  </si>
  <si>
    <t>Define nonconformity handling</t>
  </si>
  <si>
    <t>AA-012</t>
  </si>
  <si>
    <t>Track corrective actions to closure</t>
  </si>
  <si>
    <t>AA-013</t>
  </si>
  <si>
    <t>Report assurance results to the board</t>
  </si>
  <si>
    <t>AA-014</t>
  </si>
  <si>
    <t>Benchmark governance maturity periodically</t>
  </si>
  <si>
    <t>IC-001</t>
  </si>
  <si>
    <t>Define AI-specific incident response procedures</t>
  </si>
  <si>
    <t>IC-002</t>
  </si>
  <si>
    <t>Build playbooks for model poisoning, leakage, failure, rogue agent</t>
  </si>
  <si>
    <t>IC-003</t>
  </si>
  <si>
    <t>Define incident severity classification</t>
  </si>
  <si>
    <t>IC-004</t>
  </si>
  <si>
    <t>Define serious-incident reporting to authorities</t>
  </si>
  <si>
    <t>IC-005</t>
  </si>
  <si>
    <t>Define incident detection and triage</t>
  </si>
  <si>
    <t>IC-006</t>
  </si>
  <si>
    <t>Preserve forensic evidence (traces, logs)</t>
  </si>
  <si>
    <t>IC-007</t>
  </si>
  <si>
    <t>Run tabletop exercises</t>
  </si>
  <si>
    <t>IC-008</t>
  </si>
  <si>
    <t>Define kill-switch and rollback procedures</t>
  </si>
  <si>
    <t>IC-009</t>
  </si>
  <si>
    <t>Define notification triggers and timelines</t>
  </si>
  <si>
    <t>IC-010</t>
  </si>
  <si>
    <t>Conduct post-incident review</t>
  </si>
  <si>
    <t>IC-011</t>
  </si>
  <si>
    <t>Feed incidents into risk and control improvement</t>
  </si>
  <si>
    <t>IC-012</t>
  </si>
  <si>
    <t>Define business continuity for AI failure</t>
  </si>
  <si>
    <t>IC-013</t>
  </si>
  <si>
    <t>Maintain an incident log as evidence</t>
  </si>
  <si>
    <t>IC-014</t>
  </si>
  <si>
    <t>Test incident procedures periodically</t>
  </si>
  <si>
    <t>TE-001</t>
  </si>
  <si>
    <t>Implement AI-interaction disclosure (chatbots)</t>
  </si>
  <si>
    <t>TE-002</t>
  </si>
  <si>
    <t>Implement AI-generated content labelling</t>
  </si>
  <si>
    <t>TE-003</t>
  </si>
  <si>
    <t>Define explainability approach per system</t>
  </si>
  <si>
    <t>TE-004</t>
  </si>
  <si>
    <t>Provide appropriate information to affected persons</t>
  </si>
  <si>
    <t>TE-005</t>
  </si>
  <si>
    <t>Document model limitations and intended use</t>
  </si>
  <si>
    <t>TE-006</t>
  </si>
  <si>
    <t>Provide deployer information for downstream use</t>
  </si>
  <si>
    <t>TE-007</t>
  </si>
  <si>
    <t>Ensure explanations match audience needs</t>
  </si>
  <si>
    <t>TE-008</t>
  </si>
  <si>
    <t>Maintain transparency records</t>
  </si>
  <si>
    <t>BFE-001</t>
  </si>
  <si>
    <t>Define fairness objectives per system</t>
  </si>
  <si>
    <t>BFE-002</t>
  </si>
  <si>
    <t>Test for bias across relevant groups</t>
  </si>
  <si>
    <t>BFE-003</t>
  </si>
  <si>
    <t>Document bias mitigation measures</t>
  </si>
  <si>
    <t>BFE-004</t>
  </si>
  <si>
    <t>Monitor fairness in production</t>
  </si>
  <si>
    <t>BFE-005</t>
  </si>
  <si>
    <t>Define ethical principles for AI use</t>
  </si>
  <si>
    <t>BFE-006</t>
  </si>
  <si>
    <t>Assess societal and group impact</t>
  </si>
  <si>
    <t>BFE-007</t>
  </si>
  <si>
    <t>Establish a review process for ethically sensitive uses</t>
  </si>
  <si>
    <t>BFE-008</t>
  </si>
  <si>
    <t>Maintain fairness assessment records</t>
  </si>
  <si>
    <t>FMA-001</t>
  </si>
  <si>
    <t>Inventory foundation/GPAI models in use</t>
  </si>
  <si>
    <t>FMA-002</t>
  </si>
  <si>
    <t>Assess GPAI provider obligations if a provider</t>
  </si>
  <si>
    <t>FMA-003</t>
  </si>
  <si>
    <t>Govern foundation-model usage and access</t>
  </si>
  <si>
    <t>FMA-004</t>
  </si>
  <si>
    <t>Document foundation-model limitations and risks</t>
  </si>
  <si>
    <t>FMA-005</t>
  </si>
  <si>
    <t>Inventory agentic AI systems</t>
  </si>
  <si>
    <t>FMA-006</t>
  </si>
  <si>
    <t>Apply agent identity and authorization controls</t>
  </si>
  <si>
    <t>FMA-007</t>
  </si>
  <si>
    <t>Apply least-privilege and tool scoping to agents</t>
  </si>
  <si>
    <t>FMA-008</t>
  </si>
  <si>
    <t>Apply human oversight to agent actions</t>
  </si>
  <si>
    <t>FMA-009</t>
  </si>
  <si>
    <t>Implement agent containment and kill-switch</t>
  </si>
  <si>
    <t>FMA-010</t>
  </si>
  <si>
    <t>Assess multi-agent and composition risk</t>
  </si>
  <si>
    <t>FMA-011</t>
  </si>
  <si>
    <t>Govern memory and state in agentic systems</t>
  </si>
  <si>
    <t>FMA-012</t>
  </si>
  <si>
    <t>Monitor agent behavior in production</t>
  </si>
  <si>
    <t>PF-001</t>
  </si>
  <si>
    <t>Complete an initial AI system discovery sweep</t>
  </si>
  <si>
    <t>PF-002</t>
  </si>
  <si>
    <t>Identify and register shadow AI</t>
  </si>
  <si>
    <t>PF-003</t>
  </si>
  <si>
    <t>Establish the governance operating model</t>
  </si>
  <si>
    <t>PF-004</t>
  </si>
  <si>
    <t>Define the target maturity level and roadmap</t>
  </si>
  <si>
    <t>PF-005</t>
  </si>
  <si>
    <t>Secure executive sponsorship and budget</t>
  </si>
  <si>
    <t>PF-006</t>
  </si>
  <si>
    <t>Establish a single control framework mapped to all instruments</t>
  </si>
  <si>
    <t>PF-007</t>
  </si>
  <si>
    <t>Establish the evidence model early</t>
  </si>
  <si>
    <t>PF-008</t>
  </si>
  <si>
    <t>Define success metrics for the program</t>
  </si>
  <si>
    <t>PF-009</t>
  </si>
  <si>
    <t>Establish continuous-improvement rhythm</t>
  </si>
  <si>
    <t>PF-010</t>
  </si>
  <si>
    <t>Communicate the program across the enterprise</t>
  </si>
  <si>
    <t>PF-011</t>
  </si>
  <si>
    <t>Align governance with business strategy</t>
  </si>
  <si>
    <t>PF-012</t>
  </si>
  <si>
    <t>Establish a horizon-scanning process for new regulation</t>
  </si>
  <si>
    <t>PF-013</t>
  </si>
  <si>
    <t>Define build-vs-buy governance criteria</t>
  </si>
  <si>
    <t>PF-014</t>
  </si>
  <si>
    <t>Review and refresh the program annually</t>
  </si>
  <si>
    <t>LIVE GAP REPORT — OPEN P1 ITEMS</t>
  </si>
  <si>
    <t>Auto-generated. Every foundational item not yet complete, in priority order. This is your backlog and your audit-prep list.</t>
  </si>
  <si>
    <t>Nothing to fill in here. Rows appear automatically as you work the Checklist. When an item is marked Complete it drops off this list.</t>
  </si>
  <si>
    <t>Rank</t>
  </si>
  <si>
    <t>Action Required</t>
  </si>
  <si>
    <t>OWNER VIEW — ONE PERSON'S OPEN ITEMS</t>
  </si>
  <si>
    <t>Pick an owner and see everything outstanding for them across all 17 domains.</t>
  </si>
  <si>
    <t>Select owner:</t>
  </si>
  <si>
    <t>Open items:</t>
  </si>
  <si>
    <t>AI RISK REGISTER</t>
  </si>
  <si>
    <t>One row per identified risk. Inherent and residual ratings are calculated from likelihood and impact.</t>
  </si>
  <si>
    <t>YELLOW = you fill in. Ratings are calculated. Refresh on the triggers you defined: model change, scope change, incident, drift, or the periodic cycle.</t>
  </si>
  <si>
    <t>Rating = likelihood x impact (1-25). 15+ needs executive acceptance.</t>
  </si>
  <si>
    <t>Risk ID</t>
  </si>
  <si>
    <t>AI System</t>
  </si>
  <si>
    <t>Risk Description</t>
  </si>
  <si>
    <t>Category</t>
  </si>
  <si>
    <t>Likelihood (1-5)</t>
  </si>
  <si>
    <t>Impact (1-5)</t>
  </si>
  <si>
    <t>Inherent Rating</t>
  </si>
  <si>
    <t>Controls in Place</t>
  </si>
  <si>
    <t>Residual Likelihood</t>
  </si>
  <si>
    <t>Residual Impact</t>
  </si>
  <si>
    <t>Residual Rating</t>
  </si>
  <si>
    <t>Treatment</t>
  </si>
  <si>
    <t>Accepted By</t>
  </si>
  <si>
    <t>Next Review</t>
  </si>
  <si>
    <t>RSK-001</t>
  </si>
  <si>
    <t>Model under-prioritises rare serious events, delaying reporting</t>
  </si>
  <si>
    <t>Safety / Accuracy</t>
  </si>
  <si>
    <t>3 - Significant</t>
  </si>
  <si>
    <t>5 - Severe</t>
  </si>
  <si>
    <t>Human review of all high-severity flags; monthly recall testing</t>
  </si>
  <si>
    <t>2 - Moderate</t>
  </si>
  <si>
    <t>CRO / Risk</t>
  </si>
  <si>
    <t>Mitigate: expand human review sampling</t>
  </si>
  <si>
    <t>Chief Medical Officer</t>
  </si>
  <si>
    <t>AI IMPACT ASSESSMENT (FRIA / DPIA)</t>
  </si>
  <si>
    <t>One row per assessed system. Satisfies EU AI Act Art. 27 fundamental-rights assessment and feeds ISO 42001 Clause 6 and ISO/IEC 42005.</t>
  </si>
  <si>
    <t>YELLOW = you fill in. Complete one row per high-risk or rights-affecting system, BEFORE deployment, and refresh on material change.</t>
  </si>
  <si>
    <t>Ref</t>
  </si>
  <si>
    <t>Purpose and Context of Use</t>
  </si>
  <si>
    <t>Affected Persons / Groups</t>
  </si>
  <si>
    <t>Rights Potentially Affected</t>
  </si>
  <si>
    <t>Potential Harms Identified</t>
  </si>
  <si>
    <t>Likelihood and Severity</t>
  </si>
  <si>
    <t>Mitigations Applied</t>
  </si>
  <si>
    <t>Residual Concern</t>
  </si>
  <si>
    <t>Human Oversight Design</t>
  </si>
  <si>
    <t>Consulted Stakeholders</t>
  </si>
  <si>
    <t>Assessor</t>
  </si>
  <si>
    <t>Date</t>
  </si>
  <si>
    <t>Outcome</t>
  </si>
  <si>
    <t>IA-001</t>
  </si>
  <si>
    <t>Credit Scoring Model</t>
  </si>
  <si>
    <t>Consumer lending decisions for retail customers</t>
  </si>
  <si>
    <t>Applicants, esp. thin-file and protected groups</t>
  </si>
  <si>
    <t>Non-discrimination; effective remedy; privacy</t>
  </si>
  <si>
    <t>Proxy discrimination via postcode; opaque refusals</t>
  </si>
  <si>
    <t>Moderate likelihood / High severity</t>
  </si>
  <si>
    <t>Removed geo features; monthly fairness testing; reason codes</t>
  </si>
  <si>
    <t>Residual proxy risk via income correlation</t>
  </si>
  <si>
    <t>Adverse decisions reviewed by a credit officer before issue</t>
  </si>
  <si>
    <t>Legal, DPO, consumer panel</t>
  </si>
  <si>
    <t>Approved with conditions</t>
  </si>
  <si>
    <t>STATEMENT OF APPLICABILITY (ISO/IEC 42001 Annex A)</t>
  </si>
  <si>
    <t>Mandatory for certification: record which controls you apply, which you exclude, and why.</t>
  </si>
  <si>
    <t>IMPORTANT: this sheet lists the NINE Annex A control GROUPS by intent only. No ISO control text is reproduced. Obtain a licensed copy of ISO/IEC 42001 and record your decision against each of the 38 individual controls it contains.</t>
  </si>
  <si>
    <t>Group</t>
  </si>
  <si>
    <t>Control Group (by intent)</t>
  </si>
  <si>
    <t>What the group is about</t>
  </si>
  <si>
    <t>Applicable?</t>
  </si>
  <si>
    <t>Justification for inclusion or exclusion</t>
  </si>
  <si>
    <t>Implementation Status</t>
  </si>
  <si>
    <t>Evidence Reference</t>
  </si>
  <si>
    <t>A.2</t>
  </si>
  <si>
    <t>AI policy</t>
  </si>
  <si>
    <t>Whether you maintain an approved, enforced AI policy set and review it on a cycle.</t>
  </si>
  <si>
    <t>A.3</t>
  </si>
  <si>
    <t>Internal organisation</t>
  </si>
  <si>
    <t>Whether AI roles, responsibilities and reporting lines are defined and staffed.</t>
  </si>
  <si>
    <t>A.4</t>
  </si>
  <si>
    <t>Resources for AI systems</t>
  </si>
  <si>
    <t>Whether the people, data, tooling and compute the AI system needs are identified and managed.</t>
  </si>
  <si>
    <t>A.5</t>
  </si>
  <si>
    <t>Assessing impacts of AI systems</t>
  </si>
  <si>
    <t>Whether you assess impacts on individuals and society, and act on the findings.</t>
  </si>
  <si>
    <t>A.6</t>
  </si>
  <si>
    <t>AI system lifecycle</t>
  </si>
  <si>
    <t>Whether the lifecycle from objective through retirement is governed with gates and records.</t>
  </si>
  <si>
    <t>A.7</t>
  </si>
  <si>
    <t>Data for AI systems</t>
  </si>
  <si>
    <t>Whether data provenance, quality, preparation and handling are controlled.</t>
  </si>
  <si>
    <t>A.8</t>
  </si>
  <si>
    <t>Information for interested parties</t>
  </si>
  <si>
    <t>Whether you give users, deployers and affected people the information they need.</t>
  </si>
  <si>
    <t>A.9</t>
  </si>
  <si>
    <t>Responsible use of AI</t>
  </si>
  <si>
    <t>Whether intended use is defined and use stays within it.</t>
  </si>
  <si>
    <t>A.10</t>
  </si>
  <si>
    <t>Third-party and supplier relationships</t>
  </si>
  <si>
    <t>Whether responsibilities across the AI supply chain are allocated and evidenced.</t>
  </si>
  <si>
    <t>Every exclusion needs a justification an auditor will accept. 'Not relevant to us' is not a justification; 'we do not develop models, we only deploy vendor models under contract X' is.</t>
  </si>
  <si>
    <t>AI INCIDENT LOG</t>
  </si>
  <si>
    <t>EU AI Act Art. 73 requires serious-incident reporting. This is the record, and the evidence that your process works.</t>
  </si>
  <si>
    <t>YELLOW = you fill in. Log near-misses too: they are the cheapest lessons you will ever get. Check the reporting clock against every regime that applies to you.</t>
  </si>
  <si>
    <t>Incident ID</t>
  </si>
  <si>
    <t>Date Detected</t>
  </si>
  <si>
    <t>Severity</t>
  </si>
  <si>
    <t>What Happened</t>
  </si>
  <si>
    <t>Impact (data, people, business)</t>
  </si>
  <si>
    <t>Containment Action</t>
  </si>
  <si>
    <t>Root Cause</t>
  </si>
  <si>
    <t>Reportable?</t>
  </si>
  <si>
    <t>Regulator(s) Notified</t>
  </si>
  <si>
    <t>Date Notified</t>
  </si>
  <si>
    <t>Corrective Actions</t>
  </si>
  <si>
    <t>Fed Back Into Risk?</t>
  </si>
  <si>
    <t>Date Closed</t>
  </si>
  <si>
    <t>INC-001</t>
  </si>
  <si>
    <t>Support Chatbot</t>
  </si>
  <si>
    <t>S3 - Moderate</t>
  </si>
  <si>
    <t>Prompt injection via uploaded document caused disclosure of another tenant's summary</t>
  </si>
  <si>
    <t>One customer saw another customer's data summary; no PII exported</t>
  </si>
  <si>
    <t>Feature disabled within 2 hours; tenant isolation patched</t>
  </si>
  <si>
    <t>Retrieval layer ignored document-level permissions</t>
  </si>
  <si>
    <t>Lead DPA</t>
  </si>
  <si>
    <t>Permission checks enforced at retrieval; regression test added</t>
  </si>
  <si>
    <t>Closed</t>
  </si>
  <si>
    <t>VENDOR AND THIRD-PARTY AI REGISTER</t>
  </si>
  <si>
    <t>Most enterprise AI risk arrives through procurement. Embedded AI in SaaS is the most commonly missed category.</t>
  </si>
  <si>
    <t>YELLOW = you fill in. Include AI features embedded in tools you already buy, not just AI vendors. Review status is calculated from your next-review date.</t>
  </si>
  <si>
    <t>Vendor</t>
  </si>
  <si>
    <t>Service / Product</t>
  </si>
  <si>
    <t>AI Components and Models</t>
  </si>
  <si>
    <t>Our Role</t>
  </si>
  <si>
    <t>Their Role</t>
  </si>
  <si>
    <t>Data Shared</t>
  </si>
  <si>
    <t>Contract Has AI Clauses?</t>
  </si>
  <si>
    <t>Audit Rights?</t>
  </si>
  <si>
    <t>Incident Notification?</t>
  </si>
  <si>
    <t>Security Assessment Done</t>
  </si>
  <si>
    <t>Risk Rating</t>
  </si>
  <si>
    <t>VEN-001</t>
  </si>
  <si>
    <t>Vendor A</t>
  </si>
  <si>
    <t>Case triage platform</t>
  </si>
  <si>
    <t>Fine-tuned LLM (provider-hosted)</t>
  </si>
  <si>
    <t>Deployer</t>
  </si>
  <si>
    <t>Provider</t>
  </si>
  <si>
    <t>Case narratives (pseudonymised)</t>
  </si>
  <si>
    <t>Yes, 24h</t>
  </si>
  <si>
    <t>Completed Jun 2026</t>
  </si>
  <si>
    <t>AI LITERACY AND COMPETENCE RECORDS</t>
  </si>
  <si>
    <t>EU AI Act Art. 4 requires AI literacy for staff dealing with AI. It is live now, and it is evidenced by records like these.</t>
  </si>
  <si>
    <t>YELLOW = you fill in. Art. 4 has applied since 2 Aug 2026 and was NOT deferred by the Omnibus. Records are the evidence; a completed course with no record is not evidence.</t>
  </si>
  <si>
    <t>Role / Team</t>
  </si>
  <si>
    <t>Person or Group</t>
  </si>
  <si>
    <t>Literacy Requirement</t>
  </si>
  <si>
    <t>Training Delivered</t>
  </si>
  <si>
    <t>Delivery Date</t>
  </si>
  <si>
    <t>Assessment Result</t>
  </si>
  <si>
    <t>Refresh Due</t>
  </si>
  <si>
    <t>TRN-001</t>
  </si>
  <si>
    <t>Model Owners</t>
  </si>
  <si>
    <t>Drug Safety analysts (12)</t>
  </si>
  <si>
    <t>Art. 4 general + high-risk oversight duties</t>
  </si>
  <si>
    <t>AI-SAFE module 1 and 2, oversight workshop</t>
  </si>
  <si>
    <t>12/12 passed</t>
  </si>
  <si>
    <t>MODEL CARDS</t>
  </si>
  <si>
    <t>One row per model. The technical documentation an auditor, a regulator and your own engineers all need.</t>
  </si>
  <si>
    <t>YELLOW = you fill in. Complete one row per model in production. This feeds EU AI Act technical documentation (Art. 11 / Annex IV) and ISO 42001 Clause 7.5.</t>
  </si>
  <si>
    <t>Model / System</t>
  </si>
  <si>
    <t>Version</t>
  </si>
  <si>
    <t>Intended Purpose</t>
  </si>
  <si>
    <t>Out-of-Scope Uses</t>
  </si>
  <si>
    <t>Training Data Summary and Provenance</t>
  </si>
  <si>
    <t>Performance and Accuracy</t>
  </si>
  <si>
    <t>Known Limitations</t>
  </si>
  <si>
    <t>Fairness Assessment</t>
  </si>
  <si>
    <t>Security Testing</t>
  </si>
  <si>
    <t>Monitoring Approach</t>
  </si>
  <si>
    <t>Last Reviewed</t>
  </si>
  <si>
    <t>MC-001</t>
  </si>
  <si>
    <t>Adverse-Event Triage</t>
  </si>
  <si>
    <t>v2.3</t>
  </si>
  <si>
    <t>Prioritise incoming case reports by seriousness</t>
  </si>
  <si>
    <t>Not for causality assessment or regulatory submission</t>
  </si>
  <si>
    <t>Vendor base model + 40k historic cases, de-identified, 2019-2025</t>
  </si>
  <si>
    <t>Recall 0.96 on serious events (validation set)</t>
  </si>
  <si>
    <t>Under-represents paediatric cases; degrades on non-English narratives</t>
  </si>
  <si>
    <t>Tested across age, sex, region; no material disparity found</t>
  </si>
  <si>
    <t>Prompt-injection and jailbreak testing Jun 2026</t>
  </si>
  <si>
    <t>All serious flags reviewed by a safety physician</t>
  </si>
  <si>
    <t>Weekly recall tracking; drift alert at 3% drop</t>
  </si>
  <si>
    <t>RACI: SINGLE-POINT ACCOUNTABILITY</t>
  </si>
  <si>
    <t>Exactly one A per activity. Shared accountability is no accountability.</t>
  </si>
  <si>
    <t>YELLOW = you fill in. Use R (does the work), A (answerable, exactly one), C (consulted), I (informed). The check column flags any row that does not have exactly one A.</t>
  </si>
  <si>
    <t>Governance Activity</t>
  </si>
  <si>
    <t>Board</t>
  </si>
  <si>
    <t>CEO</t>
  </si>
  <si>
    <t>AI Gov Lead</t>
  </si>
  <si>
    <t>CTO/Eng</t>
  </si>
  <si>
    <t>CRO/Risk</t>
  </si>
  <si>
    <t>Legal</t>
  </si>
  <si>
    <t>CDO/Data</t>
  </si>
  <si>
    <t>Internal Audit</t>
  </si>
  <si>
    <t>Check</t>
  </si>
  <si>
    <t>Approve AI strategy and risk appetite</t>
  </si>
  <si>
    <t>Approve the enterprise AI policy</t>
  </si>
  <si>
    <t>Maintain the AI system inventory</t>
  </si>
  <si>
    <t>Classify systems by risk tier</t>
  </si>
  <si>
    <t>Run AI risk assessments</t>
  </si>
  <si>
    <t>Run impact assessments (FRIA/DPIA)</t>
  </si>
  <si>
    <t>Select and map the control set</t>
  </si>
  <si>
    <t>Implement technical controls (logging, guardrails)</t>
  </si>
  <si>
    <t>Design and operate human oversight</t>
  </si>
  <si>
    <t>Run monitoring and drift detection</t>
  </si>
  <si>
    <t>Maintain the evidence repository</t>
  </si>
  <si>
    <t>Run AI-specific incident response</t>
  </si>
  <si>
    <t>Assess and onboard AI vendors</t>
  </si>
  <si>
    <t>Deliver AI literacy and competence training</t>
  </si>
  <si>
    <t>Report AI risk to the board</t>
  </si>
  <si>
    <t>Approve deployment of a high-risk system</t>
  </si>
  <si>
    <t>Decide to retire or roll back a system</t>
  </si>
  <si>
    <t>EVIDENCE REGISTER</t>
  </si>
  <si>
    <t>The artifact-to-control index. Under audit, this is the first sheet you open.</t>
  </si>
  <si>
    <t>YELLOW = you fill in. Freshness is calculated from the review date: evidence older than its review date is flagged STALE.</t>
  </si>
  <si>
    <t>Evidence Artifact</t>
  </si>
  <si>
    <t>Satisfies (crosswalk capability)</t>
  </si>
  <si>
    <t>Location / System of Record</t>
  </si>
  <si>
    <t>Last Updated</t>
  </si>
  <si>
    <t>Review Due</t>
  </si>
  <si>
    <t>Freshness</t>
  </si>
  <si>
    <t>Model risk assessment record</t>
  </si>
  <si>
    <t>2. Risk Assessment</t>
  </si>
  <si>
    <t>GRC tool &gt; AI Risk module</t>
  </si>
  <si>
    <t>GOVERNANCE MATURITY ASSESSMENT</t>
  </si>
  <si>
    <t>Score each dimension 1-5. Overall maturity, level label and the gap to the Level 3 target are calculated.</t>
  </si>
  <si>
    <t>YELLOW = your score. 1 Initial (ad hoc) · 2 Developing · 3 Defined (the defensible target) · 4 Managed (measured) · 5 Optimised (leading).</t>
  </si>
  <si>
    <t>Governance Dimension</t>
  </si>
  <si>
    <t>What Level 3 (Defined) looks like</t>
  </si>
  <si>
    <t>Your Score</t>
  </si>
  <si>
    <t>Level</t>
  </si>
  <si>
    <t>Gap to L3</t>
  </si>
  <si>
    <t>Strategy &amp; Leadership</t>
  </si>
  <si>
    <t>Board-approved AI strategy and risk appetite; named executive accountability; governance funded as a standing capability.</t>
  </si>
  <si>
    <t>Enterprise AI policy exists, is enforced and reviewed on a cycle; acceptable and prohibited use defined.</t>
  </si>
  <si>
    <t>Structured risk process run per system (Govern/Map/Measure/Manage); documented and refreshed on triggers.</t>
  </si>
  <si>
    <t>Control Implementation</t>
  </si>
  <si>
    <t>One control set mapped to all instruments; controls selected via risk and recorded in a Statement of Applicability.</t>
  </si>
  <si>
    <t>Technology &amp; Tooling</t>
  </si>
  <si>
    <t>Controls live in the systems: logging, guardrails, access control, monitoring hooks operating in production.</t>
  </si>
  <si>
    <t>Evidence &amp; Documentation</t>
  </si>
  <si>
    <t>One evidence repository, mapped once to all frameworks, generated as a byproduct of operation.</t>
  </si>
  <si>
    <t>Continuous monitoring with defined thresholds; drift, performance and incidents tracked and fed back to risk.</t>
  </si>
  <si>
    <t>Assurance &amp; Audit</t>
  </si>
  <si>
    <t>Internal audit operating; independent review; ISO 42001 readiness or certification underway.</t>
  </si>
  <si>
    <t>Third-Party &amp; Supply Chain</t>
  </si>
  <si>
    <t>Vendor assessments, contractual controls and provenance for all third-party and embedded AI.</t>
  </si>
  <si>
    <t>People &amp; AI Literacy</t>
  </si>
  <si>
    <t>Role-based AI-literacy training delivered (EU Art. 4); competence defined per role; awareness current.</t>
  </si>
  <si>
    <t>OVERALL MATURITY</t>
  </si>
  <si>
    <t>BOARD PACK — KPIs AND KRIs</t>
  </si>
  <si>
    <t>Report KRIs at every board meeting and KPIs quarterly. Enter the current value; status flags automatically.</t>
  </si>
  <si>
    <t>YELLOW = current value you report. Several pull automatically from the other sheets, shown in grey. This sheet is set up to print to one page.</t>
  </si>
  <si>
    <t>Metric</t>
  </si>
  <si>
    <t>What it measures / signals</t>
  </si>
  <si>
    <t>Healthy Condition</t>
  </si>
  <si>
    <t>Current Value</t>
  </si>
  <si>
    <t>Cadence</t>
  </si>
  <si>
    <t>KPI</t>
  </si>
  <si>
    <t>AI inventory coverage</t>
  </si>
  <si>
    <t>% of known AI systems inventoried and classified</t>
  </si>
  <si>
    <t>Approaching 100%, shadow-AI sweep current</t>
  </si>
  <si>
    <t>Quarterly</t>
  </si>
  <si>
    <t>High-risk systems assessed</t>
  </si>
  <si>
    <t>% of high-risk systems with current risk + impact assessments</t>
  </si>
  <si>
    <t>100%</t>
  </si>
  <si>
    <t>Evidence readiness</t>
  </si>
  <si>
    <t>% of high-risk systems audit-ready on demand</t>
  </si>
  <si>
    <t>High and rising</t>
  </si>
  <si>
    <t>Human oversight coverage</t>
  </si>
  <si>
    <t>% of high-risk systems with operating oversight</t>
  </si>
  <si>
    <t>Control implementation</t>
  </si>
  <si>
    <t>% of applicable controls implemented</t>
  </si>
  <si>
    <t>Rising toward target maturity</t>
  </si>
  <si>
    <t>Training completion</t>
  </si>
  <si>
    <t>% of relevant staff meeting AI-literacy requirements</t>
  </si>
  <si>
    <t>High, refreshed on cycle</t>
  </si>
  <si>
    <t>Governance gate adherence</t>
  </si>
  <si>
    <t>% of deployments passing through approval gate</t>
  </si>
  <si>
    <t>KRI</t>
  </si>
  <si>
    <t>Unclassified AI systems</t>
  </si>
  <si>
    <t>Ungoverned exposure</t>
  </si>
  <si>
    <t>Watch: any high-risk system unclassified</t>
  </si>
  <si>
    <t>Every board meeting</t>
  </si>
  <si>
    <t>Overdue reassessments</t>
  </si>
  <si>
    <t>Governance falling behind system change</t>
  </si>
  <si>
    <t>Watch: rising backlog</t>
  </si>
  <si>
    <t>Open high-severity findings</t>
  </si>
  <si>
    <t>Unremediated risk</t>
  </si>
  <si>
    <t>Watch: any past SLA</t>
  </si>
  <si>
    <t>AI incidents (period)</t>
  </si>
  <si>
    <t>Realized risk</t>
  </si>
  <si>
    <t>Watch: trend up or any serious incident</t>
  </si>
  <si>
    <t>Shadow AI discovered</t>
  </si>
  <si>
    <t>Governance blind spots</t>
  </si>
  <si>
    <t>Watch: frequent new discoveries</t>
  </si>
  <si>
    <t>Vendor AI without assessment</t>
  </si>
  <si>
    <t>Unmanaged third-party risk</t>
  </si>
  <si>
    <t>Watch: any high-risk vendor unassessed</t>
  </si>
  <si>
    <t>Drift/performance breaches</t>
  </si>
  <si>
    <t>Systems degrading in production</t>
  </si>
  <si>
    <t>Watch: threshold breaches unresolved</t>
  </si>
  <si>
    <t>Regulatory deadline exposure</t>
  </si>
  <si>
    <t>Compliance timing risk</t>
  </si>
  <si>
    <t>Watch: approaching deadline with gaps</t>
  </si>
  <si>
    <t>Executive Metric</t>
  </si>
  <si>
    <t>Compliance posture vs applicable regime</t>
  </si>
  <si>
    <t>Are we on track for obligations that apply to us?</t>
  </si>
  <si>
    <t>On track</t>
  </si>
  <si>
    <t>Governance maturity level (1-5)</t>
  </si>
  <si>
    <t>How capable is our program and where is it heading?</t>
  </si>
  <si>
    <t>At or above target level</t>
  </si>
  <si>
    <t>AI risk exposure summary</t>
  </si>
  <si>
    <t>What is aggregate AI risk vs appetite?</t>
  </si>
  <si>
    <t>Within appetite</t>
  </si>
  <si>
    <t>Resource adequacy</t>
  </si>
  <si>
    <t>Is the program adequately funded and staffed?</t>
  </si>
  <si>
    <t>Adequate</t>
  </si>
  <si>
    <t>Portfolio value vs risk</t>
  </si>
  <si>
    <t>Is AI value proportionate to risk carried?</t>
  </si>
  <si>
    <t>Positive</t>
  </si>
  <si>
    <t>Annually</t>
  </si>
  <si>
    <t>Certification status</t>
  </si>
  <si>
    <t>Where do we stand on ISO 42001 / conformity?</t>
  </si>
  <si>
    <t>On plan</t>
  </si>
  <si>
    <t>IMPLEMENTATION ROADMAP</t>
  </si>
  <si>
    <t>A phased path from three programmes to one system. Each phase makes the next possible.</t>
  </si>
  <si>
    <t>YELLOW = your status and target date. Do not start a phase before its predecessor's exit test is met.</t>
  </si>
  <si>
    <t>Phase</t>
  </si>
  <si>
    <t>Timeframe</t>
  </si>
  <si>
    <t>Key Activities</t>
  </si>
  <si>
    <t>Exit Test</t>
  </si>
  <si>
    <t>Phase 1 — Foundation &amp; Visibility</t>
  </si>
  <si>
    <t>Days 1-30</t>
  </si>
  <si>
    <t>Appoint one accountable AI Governance Lead. Stand up the committee. Run an AI discovery sweep including shadow AI. Build the inventory with an owner per system. Determine EU AI Act applicability.</t>
  </si>
  <si>
    <t>You can answer: what AI do we run, and who owns each system?</t>
  </si>
  <si>
    <t>Phase 2 — One Control Framework</t>
  </si>
  <si>
    <t>Days 31-60</t>
  </si>
  <si>
    <t>Adopt the crosswalk as your single control set. Classify every system. Stand up the risk register and one evidence repository. Build the RACI. Define the deployment approval gate.</t>
  </si>
  <si>
    <t>Every system classified, framework adopted, nothing ships without passing the gate.</t>
  </si>
  <si>
    <t>Phase 3 — Core Controls</t>
  </si>
  <si>
    <t>Days 61-90</t>
  </si>
  <si>
    <t>On high-risk systems first: risk and impact assessments, genuine human oversight, logging and traceability, data governance, AI incident response. Meet Art. 50 and Art. 4 duties.</t>
  </si>
  <si>
    <t>High-risk systems have current assessments, operating oversight, adequate logging; 2026 EU duties met.</t>
  </si>
  <si>
    <t>Phase 4 — Depth, Assurance, Certification</t>
  </si>
  <si>
    <t>Days 91-180+</t>
  </si>
  <si>
    <t>Monitoring and measurement (drift, bias, performance, security). Adversarial-test high-risk and agentic systems. Vendor assessments. Training. First internal audit and board pack. Begin ISO 42001. Prepare conformity ahead of Dec 2027.</t>
  </si>
  <si>
    <t>Governance comprehensive, monitored, independently assured. Level 3 maturity reached.</t>
  </si>
  <si>
    <t>GLOSSARY: EVERY TERM USED IN THIS WORKBOOK</t>
  </si>
  <si>
    <t>Self-contained. If a word, acronym or clause reference appears anywhere in this file, it is defined here.</t>
  </si>
  <si>
    <t>Use the filter on the Category column to narrow by Instrument, Legal term, Standards, Governance, Technical, Role or Body. Nothing here requires an internet search to understand.</t>
  </si>
  <si>
    <t>Term</t>
  </si>
  <si>
    <t>Definition</t>
  </si>
  <si>
    <t>Why it matters in this toolkit</t>
  </si>
  <si>
    <t>Adversarial example</t>
  </si>
  <si>
    <t>Technical</t>
  </si>
  <si>
    <t>An input deliberately crafted to cause a wrong output.</t>
  </si>
  <si>
    <t>Central to robustness testing under EU Article 15.</t>
  </si>
  <si>
    <t>Agentic AI</t>
  </si>
  <si>
    <t>AI that takes actions and pursues goals using tools, rather than only producing predictions or text.</t>
  </si>
  <si>
    <t>Raises the bar: identity, least privilege, approval gates, containment, full action logging.</t>
  </si>
  <si>
    <t>Role</t>
  </si>
  <si>
    <t>The single named owner of the AI governance programme end to end.</t>
  </si>
  <si>
    <t>The role most enterprises have not created and most need. Without it, governance scatters.</t>
  </si>
  <si>
    <t>AI Governance Operating Stack</t>
  </si>
  <si>
    <t>Toolkit term</t>
  </si>
  <si>
    <t>An original ten-layer model: Strategy, Policy, Risk, Controls, Technology, Evidence, Monitoring, Assurance, Audit and Certification, Improvement.</t>
  </si>
  <si>
    <t>Value flows up the stack; evidence flows down. A weakness at any layer undermines everything above it.</t>
  </si>
  <si>
    <t>AI inventory</t>
  </si>
  <si>
    <t>Governance</t>
  </si>
  <si>
    <t>The living record of every AI system, with owner, risk tier, lifecycle stage and status.</t>
  </si>
  <si>
    <t>You cannot govern what you have not mapped. Everything else depends on it.</t>
  </si>
  <si>
    <t>AIBOM</t>
  </si>
  <si>
    <t>AI Bill of Materials: the inventory of models, datasets, libraries and services a system depends on.</t>
  </si>
  <si>
    <t>Supply-chain visibility. You cannot assess what you cannot enumerate.</t>
  </si>
  <si>
    <t>AIMS</t>
  </si>
  <si>
    <t>Standards</t>
  </si>
  <si>
    <t>AI Management System: the structure, policies, processes and controls through which an organisation governs AI, as defined by ISO/IEC 42001.</t>
  </si>
  <si>
    <t>What you build in Clauses 4 to 10. Certification certifies the AIMS, not any individual model.</t>
  </si>
  <si>
    <t>Annex A (ISO 42001)</t>
  </si>
  <si>
    <t>A reference set of 38 controls organised into nine groups, selected through risk treatment rather than applied wholesale.</t>
  </si>
  <si>
    <t>This workbook lists the nine groups by intent only. Obtain a licensed copy for the actual control text.</t>
  </si>
  <si>
    <t>Annex I</t>
  </si>
  <si>
    <t>Legal term</t>
  </si>
  <si>
    <t>AI embedded as a safety component in products already regulated under EU product law, such as medical devices and machinery.</t>
  </si>
  <si>
    <t>Deadline 2 August 2028. Product conformity and AI conformity stack together.</t>
  </si>
  <si>
    <t>Annex III</t>
  </si>
  <si>
    <t>The EU AI Act list of stand-alone high-risk use cases: biometrics, critical infrastructure, education, employment, essential services and credit, law enforcement, migration, justice.</t>
  </si>
  <si>
    <t>Deadline 2 December 2027 after the Digital Omnibus deferral.</t>
  </si>
  <si>
    <t>Article 27 (FRIA)</t>
  </si>
  <si>
    <t>The fundamental-rights impact assessment required of certain deployers of high-risk AI.</t>
  </si>
  <si>
    <t>Recorded on the Impact Assessment sheet; ISO/IEC 42005 supplies the method.</t>
  </si>
  <si>
    <t>Article 4 (AI literacy)</t>
  </si>
  <si>
    <t>The duty to ensure staff dealing with AI have sufficient AI literacy, proportionate to their role.</t>
  </si>
  <si>
    <t>Live since 2 August 2026 and not deferred. Evidenced on the Training Records sheet.</t>
  </si>
  <si>
    <t>Article 50 (transparency)</t>
  </si>
  <si>
    <t>Duties to disclose AI interaction, label synthetic content and mark deepfakes.</t>
  </si>
  <si>
    <t>Live since 2 August 2026. One of the few EU duties already binding today.</t>
  </si>
  <si>
    <t>Article 73</t>
  </si>
  <si>
    <t>The obligation to report serious incidents involving high-risk AI to the authorities.</t>
  </si>
  <si>
    <t>The Incident Log is the record that this process exists and works.</t>
  </si>
  <si>
    <t>Article 99(3)</t>
  </si>
  <si>
    <t>The penalty provision: up to EUR 35 million or 7% of total worldwide annual turnover, whichever is higher, for prohibited-practice breaches.</t>
  </si>
  <si>
    <t>Unchanged by the Digital Omnibus. This is the number that gets board attention.</t>
  </si>
  <si>
    <t>Assurance</t>
  </si>
  <si>
    <t>Independent verification that controls are not merely present but effective.</t>
  </si>
  <si>
    <t>Internal audit and management review. Distinct from doing the controls yourself.</t>
  </si>
  <si>
    <t>Automation bias</t>
  </si>
  <si>
    <t>The tendency of people to over-trust automated output and under-apply their own judgement.</t>
  </si>
  <si>
    <t>The reason nominal human oversight often fails. Oversight design must actively counter it.</t>
  </si>
  <si>
    <t>Bias</t>
  </si>
  <si>
    <t>Systematic difference in performance or outcome across groups.</t>
  </si>
  <si>
    <t>Measured, not assumed. Requires defined fairness objectives before testing means anything.</t>
  </si>
  <si>
    <t>Business owner</t>
  </si>
  <si>
    <t>The person accountable for the business use of a system and for its human oversight operating in practice.</t>
  </si>
  <si>
    <t>Distinct from the model owner, who is accountable for the system itself.</t>
  </si>
  <si>
    <t>C2PA</t>
  </si>
  <si>
    <t>A technical standard for content provenance and authenticity metadata.</t>
  </si>
  <si>
    <t>Relevant to Article 50 labelling and to India's synthetic-content rules.</t>
  </si>
  <si>
    <t>CAC</t>
  </si>
  <si>
    <t>Body</t>
  </si>
  <si>
    <t>Cyberspace Administration of China, lead regulator for algorithm filing, generative AI and content labelling.</t>
  </si>
  <si>
    <t>Filing and security assessment with the CAC precede public launch in China.</t>
  </si>
  <si>
    <t>CE marking</t>
  </si>
  <si>
    <t>The mark indicating a product meets EU requirements, applied to high-risk AI after conformity assessment.</t>
  </si>
  <si>
    <t>Evidence of conformity, not of good governance.</t>
  </si>
  <si>
    <t>Chief AI Officer</t>
  </si>
  <si>
    <t>An executive accountable for AI strategy and, frequently, AI governance.</t>
  </si>
  <si>
    <t>Sometimes the same person as the AI Governance Lead, sometimes their sponsor.</t>
  </si>
  <si>
    <t>Chief Information Security Officer.</t>
  </si>
  <si>
    <t>Owns AI-specific security: adversarial testing, agent identity, containment, incident response.</t>
  </si>
  <si>
    <t>Clause 4 to 10</t>
  </si>
  <si>
    <t>The requirement structure of ISO 42001: Context, Leadership, Planning, Support, Operation, Performance evaluation, Improvement.</t>
  </si>
  <si>
    <t>Referenced throughout the Crosswalk by clause number and intent.</t>
  </si>
  <si>
    <t>Conformity assessment</t>
  </si>
  <si>
    <t>The process of demonstrating that a high-risk AI system meets the Act's requirements, either by self-assessment or via a notified body.</t>
  </si>
  <si>
    <t>Crosswalk row 29. ISO 42001 certification is the closest voluntary analogue.</t>
  </si>
  <si>
    <t>Control</t>
  </si>
  <si>
    <t>A measure that modifies risk: a process, a technical safeguard, an approval gate.</t>
  </si>
  <si>
    <t>Layer 4 of the stack. One control should satisfy multiple frameworks at once.</t>
  </si>
  <si>
    <t>Convergence</t>
  </si>
  <si>
    <t>Concept</t>
  </si>
  <si>
    <t>Running one control set that produces one body of evidence, mapped once to every framework, instead of separate programmes per instrument.</t>
  </si>
  <si>
    <t>The whole purpose of the toolkit. Three parallel programmes is wasteful; nineteen is impossible.</t>
  </si>
  <si>
    <t>CPPA</t>
  </si>
  <si>
    <t>California Privacy Protection Agency.</t>
  </si>
  <si>
    <t>Enforces the ADMT regulations under the CCPA framework.</t>
  </si>
  <si>
    <t>CRO</t>
  </si>
  <si>
    <t>Chief Risk Officer.</t>
  </si>
  <si>
    <t>Owns the risk methodology, register and treatment decisions, and integrates AI risk into enterprise risk.</t>
  </si>
  <si>
    <t>Crosswalk</t>
  </si>
  <si>
    <t>The table of 32 governance capabilities, each mapped to the EU AI Act, NIST and ISO, with the single artifact that evidences all three.</t>
  </si>
  <si>
    <t>The master map. Every jurisdiction and sector overlay resolves back into these 32 capabilities.</t>
  </si>
  <si>
    <t>The Cloud Security Alliance AI Controls Matrix.</t>
  </si>
  <si>
    <t>Useful where AI runs on cloud and you already map to the Cloud Controls Matrix.</t>
  </si>
  <si>
    <t>Data minimisation</t>
  </si>
  <si>
    <t>Collecting and retaining only the data actually needed for the purpose.</t>
  </si>
  <si>
    <t>Reduces both privacy exposure and the blast radius of a leak.</t>
  </si>
  <si>
    <t>Legal role</t>
  </si>
  <si>
    <t>Whoever uses an AI system under their own authority in a professional capacity. Previously called 'user'.</t>
  </si>
  <si>
    <t>Most enterprises are deployers. Duties centre on human oversight, monitoring and using the system as intended.</t>
  </si>
  <si>
    <t>Digital Omnibus</t>
  </si>
  <si>
    <t>The EU simplification package adopted by the Council on 29 June 2026 that deferred the heaviest high-risk obligations.</t>
  </si>
  <si>
    <t>Changed the timing, not the destination. Transparency and literacy duties stayed on the original clock.</t>
  </si>
  <si>
    <t>Distributor / Importer</t>
  </si>
  <si>
    <t>Others in the supply chain who make an AI system available on the market without being the provider.</t>
  </si>
  <si>
    <t>Can inherit provider duties if they rebrand a system or substantially modify it.</t>
  </si>
  <si>
    <t>DPIA</t>
  </si>
  <si>
    <t>Data Protection Impact Assessment, required under GDPR for high-risk processing.</t>
  </si>
  <si>
    <t>Often runs alongside the AI impact assessment; the Impact Assessment sheet holds both.</t>
  </si>
  <si>
    <t>Data Protection Officer: accountable for privacy compliance and data-subject rights.</t>
  </si>
  <si>
    <t>Owns DPIAs and the GDPR interface with AI.</t>
  </si>
  <si>
    <t>Drift</t>
  </si>
  <si>
    <t>Degradation in model performance over time as inputs, populations or the world change.</t>
  </si>
  <si>
    <t>A system assessed once at deployment and never revisited is governing a system that no longer exists.</t>
  </si>
  <si>
    <t>Embedding</t>
  </si>
  <si>
    <t>A numeric representation of text or data that captures meaning for similarity search.</t>
  </si>
  <si>
    <t>Embeddings can leak information about their source data; treat vector stores as sensitive.</t>
  </si>
  <si>
    <t>EU AI Act</t>
  </si>
  <si>
    <t>Regulation (EU) 2024/1689, the first comprehensive horizontal AI law. Classifies AI into prohibited, high-risk, limited-risk and minimal-risk tiers and attaches obligations to each.</t>
  </si>
  <si>
    <t>The obligation layer: it tells you what you must prove. Drives the tier and deadline on the AI Systems sheet.</t>
  </si>
  <si>
    <t>European AI Office</t>
  </si>
  <si>
    <t>The EU body overseeing general-purpose AI models and supporting consistent application of the AI Act.</t>
  </si>
  <si>
    <t>Your counterparty if you are a GPAI provider.</t>
  </si>
  <si>
    <t>Evidence</t>
  </si>
  <si>
    <t>The artifact that proves a control operated, ideally produced as a byproduct of doing the work.</t>
  </si>
  <si>
    <t>Evidence built after the fact for an audit is fragile. Built into operation, it is durable.</t>
  </si>
  <si>
    <t>The ability to give a human an intelligible account of why a system produced an output.</t>
  </si>
  <si>
    <t>Needed to make human oversight real rather than decorative.</t>
  </si>
  <si>
    <t>Fine-tuning</t>
  </si>
  <si>
    <t>Further training a pre-trained model on narrower data to specialise it.</t>
  </si>
  <si>
    <t>Creates new data-governance and bias exposure even when the base model is a vendor's.</t>
  </si>
  <si>
    <t>Foundation model</t>
  </si>
  <si>
    <t>A large model trained broadly and adapted to many downstream tasks.</t>
  </si>
  <si>
    <t>Usually procured, not built. Brings supply-chain and provenance obligations.</t>
  </si>
  <si>
    <t>GDPR Article 22</t>
  </si>
  <si>
    <t>The right not to be subject to a solely automated decision with legal or similarly significant effects.</t>
  </si>
  <si>
    <t>Frequently the sharpest constraint on automated decisioning in the EU, independent of the AI Act.</t>
  </si>
  <si>
    <t>GenAI Profile</t>
  </si>
  <si>
    <t>Framework</t>
  </si>
  <si>
    <t>The NIST companion profile tailoring the AI RMF to generative AI risks.</t>
  </si>
  <si>
    <t>Useful when your portfolio is generative-heavy.</t>
  </si>
  <si>
    <t>Govern (NIST GV)</t>
  </si>
  <si>
    <t>The cross-cutting NIST function: culture, accountability structures, policies and processes.</t>
  </si>
  <si>
    <t>Underpins the other three functions and pairs with ISO Clause 5.</t>
  </si>
  <si>
    <t>Governance gate</t>
  </si>
  <si>
    <t>A checkpoint in the lifecycle where approval is required before a system proceeds.</t>
  </si>
  <si>
    <t>Turns policy into practice. Without a gate, a policy is a suggestion.</t>
  </si>
  <si>
    <t>GPAI</t>
  </si>
  <si>
    <t>General-purpose AI: a model with broad capability across many tasks, such as a large language model. Sits on a parallel obligation track.</t>
  </si>
  <si>
    <t>If you build on a foundation model, you are in the GPAI supply chain and need provider evidence.</t>
  </si>
  <si>
    <t>Ground truth</t>
  </si>
  <si>
    <t>The verified correct answer used to evaluate a model.</t>
  </si>
  <si>
    <t>Without it, accuracy claims are unfalsifiable.</t>
  </si>
  <si>
    <t>Guardrail</t>
  </si>
  <si>
    <t>A control that filters or constrains model input or output at runtime.</t>
  </si>
  <si>
    <t>Validate that it cannot be bypassed, and that it fails closed rather than open.</t>
  </si>
  <si>
    <t>Hallucination</t>
  </si>
  <si>
    <t>Confident, fluent output that is factually wrong.</t>
  </si>
  <si>
    <t>Grounding, citation and human review are the mitigations; monitoring detects the rate.</t>
  </si>
  <si>
    <t>High-risk AI system</t>
  </si>
  <si>
    <t>AI in a sensitive domain (Annex III) or acting as a safety component of a regulated product (Annex I).</t>
  </si>
  <si>
    <t>Triggers the full regime: risk management, data governance, documentation, logging, oversight, accuracy, conformity assessment.</t>
  </si>
  <si>
    <t>Human in the loop</t>
  </si>
  <si>
    <t>A person approves or can intervene in a decision before it takes effect.</t>
  </si>
  <si>
    <t>Distinct from human on the loop, where a person monitors and can intervene after the fact.</t>
  </si>
  <si>
    <t>IMDA</t>
  </si>
  <si>
    <t>Infocomm Media Development Authority, Singapore.</t>
  </si>
  <si>
    <t>Publishes the Model AI Governance Frameworks, including the agentic AI framework.</t>
  </si>
  <si>
    <t>Inference</t>
  </si>
  <si>
    <t>Running a trained model to produce an output.</t>
  </si>
  <si>
    <t>Where logging, guardrails and monitoring actually operate.</t>
  </si>
  <si>
    <t>Inherent risk</t>
  </si>
  <si>
    <t>The level of risk before any controls are applied.</t>
  </si>
  <si>
    <t>Calculated on the Risk Register as likelihood times impact.</t>
  </si>
  <si>
    <t>Interpretability</t>
  </si>
  <si>
    <t>The degree to which a model's internal mechanics can be understood directly.</t>
  </si>
  <si>
    <t>Related to but distinct from explainability, which is about the account given to a person.</t>
  </si>
  <si>
    <t>ISO/IEC 23894</t>
  </si>
  <si>
    <t>Guidance on managing AI-related risk, aligned to the ISO 31000 risk foundation.</t>
  </si>
  <si>
    <t>The risk-process detail beneath Clause 6.</t>
  </si>
  <si>
    <t>ISO/IEC 27001</t>
  </si>
  <si>
    <t>The information security management system standard.</t>
  </si>
  <si>
    <t>If you already hold it, a large share of AI governance already exists and can be extended rather than rebuilt.</t>
  </si>
  <si>
    <t>ISO/IEC 38507</t>
  </si>
  <si>
    <t>Governance implications of the use of AI for the governing body.</t>
  </si>
  <si>
    <t>The board-level view above the management system.</t>
  </si>
  <si>
    <t>ISO/IEC 42001</t>
  </si>
  <si>
    <t>The first international management system standard for AI. Defines requirements for an AI Management System and is certifiable by an accredited body.</t>
  </si>
  <si>
    <t>The operating layer: the machinery that makes governance repeatable and auditable.</t>
  </si>
  <si>
    <t>ISO/IEC 42005</t>
  </si>
  <si>
    <t>Guidance on conducting AI system impact assessments across the lifecycle.</t>
  </si>
  <si>
    <t>Supplies the method that ISO 42001 Clause 6 requires but does not detail.</t>
  </si>
  <si>
    <t>ISO/IEC 42006</t>
  </si>
  <si>
    <t>Requirements for bodies that audit and certify AI management systems.</t>
  </si>
  <si>
    <t>Tells you what a certification body must do, and therefore what to prepare for.</t>
  </si>
  <si>
    <t>ISO/IEC 5338</t>
  </si>
  <si>
    <t>Defines the lifecycle stages your governance gates attach to.</t>
  </si>
  <si>
    <t>Jailbreak</t>
  </si>
  <si>
    <t>Input crafted to bypass a model's safety behaviour.</t>
  </si>
  <si>
    <t>Test for it in red teaming; guardrails must fail safe.</t>
  </si>
  <si>
    <t>Kill switch / kill-switch</t>
  </si>
  <si>
    <t>A tested mechanism to halt an AI system or agent immediately.</t>
  </si>
  <si>
    <t>Untested containment is not containment. Crosswalk row 32.</t>
  </si>
  <si>
    <t>Large language model (LLM)</t>
  </si>
  <si>
    <t>A model trained on large text corpora that generates language by predicting likely continuations.</t>
  </si>
  <si>
    <t>The most common enterprise AI system today, and the one most exposed to prompt injection.</t>
  </si>
  <si>
    <t>Least privilege / least-privilege</t>
  </si>
  <si>
    <t>Granting only the minimum access or tool scope needed for the task.</t>
  </si>
  <si>
    <t>The primary mitigation for excessive agency in agentic systems.</t>
  </si>
  <si>
    <t>Limited-risk AI</t>
  </si>
  <si>
    <t>AI subject only to transparency duties, such as disclosing that a user is interacting with a chatbot or that content is AI-generated.</t>
  </si>
  <si>
    <t>Article 50 duties are live now and were NOT deferred.</t>
  </si>
  <si>
    <t>Manage (NIST MG)</t>
  </si>
  <si>
    <t>Allocating resources to treat risk: prioritise, respond, recover, communicate.</t>
  </si>
  <si>
    <t>Where risk treatment decisions actually get made.</t>
  </si>
  <si>
    <t>Map (NIST MP)</t>
  </si>
  <si>
    <t>Establishing context and framing risk: purpose, context of use, stakeholders, what could go wrong.</t>
  </si>
  <si>
    <t>Where the AI inventory and system framing live.</t>
  </si>
  <si>
    <t>Maturity level</t>
  </si>
  <si>
    <t>A 1 to 5 scale from Initial (ad hoc) through Defined (Level 3) to Optimised.</t>
  </si>
  <si>
    <t>Level 3 is the realistic near-term target and the point at which a programme becomes defensible.</t>
  </si>
  <si>
    <t>Measure (NIST MS)</t>
  </si>
  <si>
    <t>Analysing, assessing, benchmarking and monitoring risk using quantitative and qualitative methods.</t>
  </si>
  <si>
    <t>Bias, robustness, security and performance testing sit here.</t>
  </si>
  <si>
    <t>MeitY</t>
  </si>
  <si>
    <t>India's Ministry of Electronics and Information Technology.</t>
  </si>
  <si>
    <t>Issued the India AI Governance Guidelines and the IT Amendment Rules 2026.</t>
  </si>
  <si>
    <t>A knowledge base of adversary tactics and techniques against AI systems, modelled on ATT&amp;CK.</t>
  </si>
  <si>
    <t>Use it to scope red teaming and to describe findings in shared language.</t>
  </si>
  <si>
    <t>Model card</t>
  </si>
  <si>
    <t>Structured documentation of a model: purpose, data, performance, limitations, oversight, monitoring.</t>
  </si>
  <si>
    <t>Feeds EU technical documentation (Article 11 / Annex IV) and ISO Clause 7.5.</t>
  </si>
  <si>
    <t>Model owner</t>
  </si>
  <si>
    <t>The person accountable for one AI system end to end: assessment, documentation, monitoring, lifecycle.</t>
  </si>
  <si>
    <t>Governance fails when systems have users but no owner.</t>
  </si>
  <si>
    <t>Model poisoning</t>
  </si>
  <si>
    <t>Corrupting training or fine-tuning data so the model behaves badly later.</t>
  </si>
  <si>
    <t>Validate ingestion pipelines and keep dataset lineage.</t>
  </si>
  <si>
    <t>MSIT</t>
  </si>
  <si>
    <t>Korea's Ministry of Science and ICT.</t>
  </si>
  <si>
    <t>Administers the AI Framework Act and its Enforcement Decree.</t>
  </si>
  <si>
    <t>Navigator</t>
  </si>
  <si>
    <t>A seven-question decision tool that turns answers about one system into an obligation profile.</t>
  </si>
  <si>
    <t>Use it for a single system; use the AI Systems sheet to classify a whole portfolio at once.</t>
  </si>
  <si>
    <t>NIST AI RMF</t>
  </si>
  <si>
    <t>The US National Institute of Standards and Technology AI Risk Management Framework. A voluntary, method-rich framework built on four functions: Govern, Map, Measure, Manage.</t>
  </si>
  <si>
    <t>The reasoning layer: how you think about risk. Adopting it also gives a safe-harbour benefit under Texas TRAIGA.</t>
  </si>
  <si>
    <t>The Cybersecurity Framework: Govern, Identify, Protect, Detect, Respond, Recover.</t>
  </si>
  <si>
    <t>Fold AI assets into your existing profile rather than starting a separate one.</t>
  </si>
  <si>
    <t>Notified authority</t>
  </si>
  <si>
    <t>A national competent authority designated to supervise the AI Act in a member state.</t>
  </si>
  <si>
    <t>Delays in designating these authorities were part of why the high-risk deadline moved.</t>
  </si>
  <si>
    <t>Notified body</t>
  </si>
  <si>
    <t>An accredited organisation designated to carry out third-party conformity assessment.</t>
  </si>
  <si>
    <t>Needed for some high-risk categories; self-assessment suffices for others.</t>
  </si>
  <si>
    <t>Notified vs accredited</t>
  </si>
  <si>
    <t>Notified bodies do regulatory conformity assessment; accredited certification bodies issue standards certificates such as ISO 42001.</t>
  </si>
  <si>
    <t>Different regimes, different pieces of paper, often confused.</t>
  </si>
  <si>
    <t>OSFI</t>
  </si>
  <si>
    <t>Office of the Superintendent of Financial Institutions, Canada.</t>
  </si>
  <si>
    <t>Guideline E-23 sets model risk expectations for federally regulated financial institutions.</t>
  </si>
  <si>
    <t>OWASP LLM Top 10</t>
  </si>
  <si>
    <t>A community list of the most critical security risks in LLM applications.</t>
  </si>
  <si>
    <t>Mapped to Crosswalk rows on the Technical Controls sheet.</t>
  </si>
  <si>
    <t>P1 / P2 / P3</t>
  </si>
  <si>
    <t>Implementation priority. P1 is foundational and must come first, P2 is core, P3 is maturity.</t>
  </si>
  <si>
    <t>83 of the 260 checklist items are P1. The Gap Report lists only open P1 items, because nothing else matters until they are done.</t>
  </si>
  <si>
    <t>Parallel-programmes trap</t>
  </si>
  <si>
    <t>Running separate governance efforts per framework, inventorying the same system several times in several formats.</t>
  </si>
  <si>
    <t>The specific failure this toolkit exists to prevent.</t>
  </si>
  <si>
    <t>Personal data</t>
  </si>
  <si>
    <t>Information relating to an identified or identifiable person.</t>
  </si>
  <si>
    <t>Its presence in training or inference data pulls in the whole privacy regime.</t>
  </si>
  <si>
    <t>Plan-Do-Check-Act</t>
  </si>
  <si>
    <t>The continual improvement cycle underpinning ISO management system standards.</t>
  </si>
  <si>
    <t>Why governance is a rhythm, not a project.</t>
  </si>
  <si>
    <t>Prohibited practices</t>
  </si>
  <si>
    <t>AI uses banned outright, including social scoring and certain manipulative or exploitative systems. Further prohibitions phase in from 2 December 2026.</t>
  </si>
  <si>
    <t>If the AI Systems sheet returns PROHIBITED, the system must not be deployed at all.</t>
  </si>
  <si>
    <t>Prompt injection</t>
  </si>
  <si>
    <t>Attacker-controlled text, direct or inside retrieved content, that overrides the system's instructions.</t>
  </si>
  <si>
    <t>OWASP LLM01. The signature attack on LLM applications.</t>
  </si>
  <si>
    <t>Provenance / lineage</t>
  </si>
  <si>
    <t>The documented origin and transformation history of data or content.</t>
  </si>
  <si>
    <t>Required for training-data transparency duties and for defending a model under audit.</t>
  </si>
  <si>
    <t>Whoever develops an AI system or has it developed and places it on the market under their own name or trademark.</t>
  </si>
  <si>
    <t>Providers carry the heaviest obligations: design, technical documentation, conformity assessment.</t>
  </si>
  <si>
    <t>RACI</t>
  </si>
  <si>
    <t>Responsible (does the work), Accountable (answerable, exactly one), Consulted, Informed.</t>
  </si>
  <si>
    <t>Shared accountability is no accountability. The RACI sheet flags any activity without exactly one A.</t>
  </si>
  <si>
    <t>RAG</t>
  </si>
  <si>
    <t>Retrieval-Augmented Generation: fetching documents at query time and giving them to the model as context.</t>
  </si>
  <si>
    <t>The retrieval layer must respect document-level permissions or it leaks data across users.</t>
  </si>
  <si>
    <t>Red teaming</t>
  </si>
  <si>
    <t>Structured adversarial testing to find failures before an attacker or a regulator does.</t>
  </si>
  <si>
    <t>Crosswalk row 21. Expected for high-risk and agentic systems.</t>
  </si>
  <si>
    <t>Residual risk</t>
  </si>
  <si>
    <t>The risk remaining after controls are applied.</t>
  </si>
  <si>
    <t>What you actually accept. Anything rated 15 or above should need executive sign-off.</t>
  </si>
  <si>
    <t>Risk appetite</t>
  </si>
  <si>
    <t>The amount and type of risk an organisation is willing to accept in pursuit of its objectives.</t>
  </si>
  <si>
    <t>Set by the board. Layer 1 of the Operating Stack; without it no risk decision has a reference point.</t>
  </si>
  <si>
    <t>Shadow AI</t>
  </si>
  <si>
    <t>AI in use across the organisation without the knowledge or approval of the governance function.</t>
  </si>
  <si>
    <t>The most common root cause of governance failure. Your real inventory is always larger than your official one.</t>
  </si>
  <si>
    <t>Single-point accountability</t>
  </si>
  <si>
    <t>The rule that exactly one named role is answerable for each governance activity.</t>
  </si>
  <si>
    <t>The most common governance failure is an activity everyone supports and no one owns.</t>
  </si>
  <si>
    <t>Statement of Applicability</t>
  </si>
  <si>
    <t>The documented record of which controls you apply, which you exclude, and the justification for each decision.</t>
  </si>
  <si>
    <t>Mandatory for certification. 'Not relevant to us' is not a justification an auditor will accept.</t>
  </si>
  <si>
    <t>Synthetically generated information</t>
  </si>
  <si>
    <t>Content created or altered by AI so that it appears authentic. The term used in India's IT Amendment Rules 2026.</t>
  </si>
  <si>
    <t>Triggers binding labelling and metadata duties in India from 20 February 2026.</t>
  </si>
  <si>
    <t>Systemic risk (GPAI)</t>
  </si>
  <si>
    <t>A designation for the most capable general-purpose models, carrying additional evaluation, incident and security duties.</t>
  </si>
  <si>
    <t>Relevant if you are a model provider rather than a deployer.</t>
  </si>
  <si>
    <t>Three altitudes</t>
  </si>
  <si>
    <t>The organising idea of this toolkit: NIST helps you THINK, ISO helps you OPERATE, and the EU AI Act tells you what you must PROVE.</t>
  </si>
  <si>
    <t>They are not competitors. One control set can satisfy all three, which is what the Crosswalk demonstrates.</t>
  </si>
  <si>
    <t>Vector store</t>
  </si>
  <si>
    <t>A database of embeddings supporting similarity search, typically underpinning RAG.</t>
  </si>
  <si>
    <t>Needs access control and tenant isolation like any other data store.</t>
  </si>
  <si>
    <t>This glossary is written in original words. Where it refers to a standard or a legal provision it states the number, clause and intent only; no normative or copyrighted text is reproduced. For binding wording, consult the licensed standard or the official text of the law.</t>
  </si>
  <si>
    <t>CONFIG AND PICK LISTS</t>
  </si>
  <si>
    <t>Edit the Owners list to match your organisation. Other lists drive the dropdowns; change them only if you know why.</t>
  </si>
  <si>
    <t>Add your real owner names in column B. They appear in every Owner dropdown across the toolkit.</t>
  </si>
  <si>
    <t>OWNERS (edit these)</t>
  </si>
  <si>
    <t>STATUS VALUES</t>
  </si>
  <si>
    <t>NOTES</t>
  </si>
  <si>
    <t>Dates in this workbook use your system locale. Overdue flags compare against TODAY(). Risk tiers on the AI Systems sheet are derived by formula from your answers to the seven Navigator questions; do not overtype them. If your organisation uses different role titles, edit the Owners list and every dropdown updates.</t>
  </si>
  <si>
    <t>CTO / Engineering</t>
  </si>
  <si>
    <t>In Progress</t>
  </si>
  <si>
    <t>CISO / Security</t>
  </si>
  <si>
    <t>Complete</t>
  </si>
  <si>
    <t>N/A</t>
  </si>
  <si>
    <t>Legal / Compliance</t>
  </si>
  <si>
    <t>CDO / Data</t>
  </si>
  <si>
    <t>ANNEX III USE CASES</t>
  </si>
  <si>
    <t>Biometrics</t>
  </si>
  <si>
    <t>Education / vocational</t>
  </si>
  <si>
    <t>Essential services / credit</t>
  </si>
  <si>
    <t>Law enforcement</t>
  </si>
  <si>
    <t>Migration / border</t>
  </si>
  <si>
    <t>Justice / democratic process</t>
  </si>
  <si>
    <t>VERSION AND REVIEW LOG</t>
  </si>
  <si>
    <t>Record every review of this workbook. Auditors ask when governance artifacts were last reviewed and by whom.</t>
  </si>
  <si>
    <t>YELLOW = you fill in. Review this workbook at least annually, and after any material change (major incident, new regulation, significant new high-risk deployment).</t>
  </si>
  <si>
    <t>Reviewed By</t>
  </si>
  <si>
    <t>Changes Made</t>
  </si>
  <si>
    <t>1.0</t>
  </si>
  <si>
    <t>Aug 2026</t>
  </si>
  <si>
    <t>CXO Intelligence</t>
  </si>
  <si>
    <t>Initial release. Jurisdiction Atlas verified against public sources August 2026, covering 19 regimes. Reflects the EU AI Act timeline as revised by the 2026 Digital Omnibus. Two reversals captured at build time: Colorado repealed and replaced its 2024 AI Act (SB 26-189, effective 1 Jan 2027), and Canada AIDA died in Parliament and has not been reintroduced.</t>
  </si>
  <si>
    <t>Nov 2026 (quarterly)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</si>
</sst>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dd\ mmm\ yyyy"/>
  </numFmts>
  <fonts count="53" x14ac:knownFonts="1">
    <font>
      <sz val="11"/>
      <color theme="1"/>
      <name val="Calibri"/>
      <family val="2"/>
      <charset val="1"/>
    </font>
    <font>
      <b/>
      <sz val="20"/>
      <color rgb="FFFFFFFF"/>
      <name val="Arial"/>
      <charset val="1"/>
    </font>
    <font>
      <i/>
      <sz val="11"/>
      <color rgb="FFFFFFFF"/>
      <name val="Arial"/>
      <charset val="1"/>
    </font>
    <font>
      <b/>
      <sz val="10"/>
      <color rgb="FF011A43"/>
      <name val="Arial"/>
      <charset val="1"/>
    </font>
    <font>
      <sz val="9.5"/>
      <color rgb="FF5B6B83"/>
      <name val="Arial"/>
      <charset val="1"/>
    </font>
    <font>
      <i/>
      <sz val="8.5"/>
      <color rgb="FF5B6B83"/>
      <name val="Arial"/>
      <charset val="1"/>
    </font>
    <font>
      <b/>
      <sz val="12"/>
      <color rgb="FF011A43"/>
      <name val="Arial"/>
      <charset val="1"/>
    </font>
    <font>
      <sz val="10"/>
      <color rgb="FF1A1A1A"/>
      <name val="Arial"/>
      <charset val="1"/>
    </font>
    <font>
      <b/>
      <sz val="10.5"/>
      <color rgb="FFE8641C"/>
      <name val="Arial"/>
      <charset val="1"/>
    </font>
    <font>
      <sz val="9"/>
      <color rgb="FF333333"/>
      <name val="Arial"/>
      <charset val="1"/>
    </font>
    <font>
      <b/>
      <sz val="10"/>
      <color rgb="FF1A2C52"/>
      <name val="Arial"/>
      <charset val="1"/>
    </font>
    <font>
      <b/>
      <sz val="12"/>
      <color rgb="FFA4560F"/>
      <name val="Arial"/>
      <charset val="1"/>
    </font>
    <font>
      <i/>
      <sz val="9"/>
      <color rgb="FF5A4632"/>
      <name val="Arial"/>
      <charset val="1"/>
    </font>
    <font>
      <sz val="9.5"/>
      <color rgb="FF1A1A1A"/>
      <name val="Arial"/>
      <charset val="1"/>
    </font>
    <font>
      <i/>
      <sz val="9"/>
      <color rgb="FF5B6B83"/>
      <name val="Arial"/>
      <charset val="1"/>
    </font>
    <font>
      <i/>
      <sz val="9.5"/>
      <color rgb="FFFFFFFF"/>
      <name val="Arial"/>
      <charset val="1"/>
    </font>
    <font>
      <b/>
      <sz val="9"/>
      <color rgb="FFFFFFFF"/>
      <name val="Arial"/>
      <charset val="1"/>
    </font>
    <font>
      <b/>
      <sz val="20"/>
      <color rgb="FFE8641C"/>
      <name val="Arial"/>
      <charset val="1"/>
    </font>
    <font>
      <i/>
      <sz val="8"/>
      <color rgb="FFC9D3E6"/>
      <name val="Arial"/>
      <charset val="1"/>
    </font>
    <font>
      <sz val="9"/>
      <color rgb="FF1A1A1A"/>
      <name val="Arial"/>
      <charset val="1"/>
    </font>
    <font>
      <b/>
      <sz val="9"/>
      <color rgb="FF011A43"/>
      <name val="Arial"/>
      <charset val="1"/>
    </font>
    <font>
      <b/>
      <sz val="12"/>
      <color rgb="FFFFFFFF"/>
      <name val="Arial"/>
      <charset val="1"/>
    </font>
    <font>
      <b/>
      <sz val="10.5"/>
      <color rgb="FF011A43"/>
      <name val="Arial"/>
      <charset val="1"/>
    </font>
    <font>
      <b/>
      <sz val="15"/>
      <color rgb="FFFFFFFF"/>
      <name val="Arial"/>
      <charset val="1"/>
    </font>
    <font>
      <b/>
      <sz val="10"/>
      <color rgb="FFFFFFFF"/>
      <name val="Arial"/>
      <charset val="1"/>
    </font>
    <font>
      <i/>
      <sz val="9.5"/>
      <color rgb="FF1A1A1A"/>
      <name val="Arial"/>
      <charset val="1"/>
    </font>
    <font>
      <b/>
      <sz val="9.5"/>
      <color rgb="FF011A43"/>
      <name val="Arial"/>
      <charset val="1"/>
    </font>
    <font>
      <b/>
      <sz val="9.5"/>
      <color rgb="FFA4560F"/>
      <name val="Arial"/>
      <charset val="1"/>
    </font>
    <font>
      <b/>
      <sz val="9.5"/>
      <color rgb="FF1A1A1A"/>
      <name val="Arial"/>
      <charset val="1"/>
    </font>
    <font>
      <b/>
      <sz val="9"/>
      <color rgb="FFE8641C"/>
      <name val="Arial"/>
      <charset val="1"/>
    </font>
    <font>
      <b/>
      <sz val="9"/>
      <color rgb="FFB3261E"/>
      <name val="Arial"/>
      <charset val="1"/>
    </font>
    <font>
      <b/>
      <sz val="9"/>
      <color rgb="FF1A2C52"/>
      <name val="Arial"/>
      <charset val="1"/>
    </font>
    <font>
      <b/>
      <sz val="9"/>
      <color rgb="FF1A1A1A"/>
      <name val="Arial"/>
      <charset val="1"/>
    </font>
    <font>
      <b/>
      <sz val="9"/>
      <color rgb="FFA4560F"/>
      <name val="Arial"/>
      <charset val="1"/>
    </font>
    <font>
      <b/>
      <sz val="11"/>
      <color rgb="FFE8641C"/>
      <name val="Arial"/>
      <charset val="1"/>
    </font>
    <font>
      <i/>
      <sz val="10"/>
      <color rgb="FF333333"/>
      <name val="Arial"/>
      <charset val="1"/>
    </font>
    <font>
      <b/>
      <sz val="9"/>
      <color rgb="FF1E6B4F"/>
      <name val="Arial"/>
      <charset val="1"/>
    </font>
    <font>
      <b/>
      <sz val="8.5"/>
      <color rgb="FF1A2C52"/>
      <name val="Arial"/>
      <charset val="1"/>
    </font>
    <font>
      <sz val="8"/>
      <color rgb="FFBBBBBB"/>
      <name val="Arial"/>
      <charset val="1"/>
    </font>
    <font>
      <b/>
      <sz val="11"/>
      <color rgb="FF011A43"/>
      <name val="Arial"/>
      <charset val="1"/>
    </font>
    <font>
      <b/>
      <sz val="14"/>
      <color rgb="FFE8641C"/>
      <name val="Arial"/>
      <charset val="1"/>
    </font>
    <font>
      <i/>
      <sz val="9"/>
      <color rgb="FF1A1A1A"/>
      <name val="Arial"/>
      <charset val="1"/>
    </font>
    <font>
      <b/>
      <sz val="9.5"/>
      <color rgb="FFE8641C"/>
      <name val="Arial"/>
      <charset val="1"/>
    </font>
    <font>
      <sz val="9"/>
      <color rgb="FF5B6B83"/>
      <name val="Arial"/>
      <charset val="1"/>
    </font>
    <font>
      <b/>
      <sz val="15"/>
      <color rgb="FFE8641C"/>
      <name val="Arial"/>
      <charset val="1"/>
    </font>
    <font>
      <b/>
      <sz val="11"/>
      <color rgb="FFFFFFFF"/>
      <name val="Arial"/>
      <charset val="1"/>
    </font>
    <font>
      <b/>
      <sz val="12"/>
      <color rgb="FFE8641C"/>
      <name val="Arial"/>
      <charset val="1"/>
    </font>
    <font>
      <b/>
      <sz val="8.5"/>
      <color rgb="FF2B4A86"/>
      <name val="Arial"/>
      <charset val="1"/>
    </font>
    <font>
      <i/>
      <sz val="9"/>
      <color rgb="FF444444"/>
      <name val="Arial"/>
      <charset val="1"/>
    </font>
    <font>
      <b/>
      <sz val="8.5"/>
      <color rgb="FF5B6B83"/>
      <name val="Arial"/>
      <charset val="1"/>
    </font>
    <font>
      <b/>
      <sz val="8.5"/>
      <color rgb="FFE8641C"/>
      <name val="Arial"/>
      <charset val="1"/>
    </font>
    <font>
      <b/>
      <sz val="8.5"/>
      <color rgb="FF1E6B4F"/>
      <name val="Arial"/>
      <charset val="1"/>
    </font>
    <font>
      <b/>
      <sz val="8.5"/>
      <color rgb="FFB3261E"/>
      <name val="Arial"/>
      <charset val="1"/>
    </font>
  </fonts>
  <fills count="10">
    <fill>
      <patternFill patternType="none"/>
    </fill>
    <fill>
      <patternFill patternType="gray125"/>
    </fill>
    <fill>
      <patternFill patternType="solid">
        <fgColor rgb="FF011A43"/>
        <bgColor rgb="FF1A1A1A"/>
      </patternFill>
    </fill>
    <fill>
      <patternFill patternType="solid">
        <fgColor rgb="FFE8641C"/>
        <bgColor rgb="FFA4560F"/>
      </patternFill>
    </fill>
    <fill>
      <patternFill patternType="solid">
        <fgColor rgb="FFEEF1F6"/>
        <bgColor rgb="FFF2F2F2"/>
      </patternFill>
    </fill>
    <fill>
      <patternFill patternType="solid">
        <fgColor rgb="FFFDEEDE"/>
        <bgColor rgb="FFFFF7D6"/>
      </patternFill>
    </fill>
    <fill>
      <patternFill patternType="solid">
        <fgColor rgb="FF1A2C52"/>
        <bgColor rgb="FF333333"/>
      </patternFill>
    </fill>
    <fill>
      <patternFill patternType="solid">
        <fgColor rgb="FFFFF7D6"/>
        <bgColor rgb="FFFDEEDE"/>
      </patternFill>
    </fill>
    <fill>
      <patternFill patternType="solid">
        <fgColor rgb="FFF5F8FC"/>
        <bgColor rgb="FFF9F9F9"/>
      </patternFill>
    </fill>
    <fill>
      <patternFill patternType="solid">
        <fgColor rgb="FF3A5488"/>
        <bgColor rgb="FF2B4A86"/>
      </patternFill>
    </fill>
  </fills>
  <borders count="3">
    <border>
      <left/>
      <right/>
      <top/>
      <bottom/>
      <diagonal/>
    </border>
    <border>
      <left style="thin">
        <color rgb="FFD3DAE6"/>
      </left>
      <right style="thin">
        <color rgb="FFD3DAE6"/>
      </right>
      <top style="thin">
        <color rgb="FFD3DAE6"/>
      </top>
      <bottom style="medium">
        <color rgb="FFE8641C"/>
      </bottom>
      <diagonal/>
    </border>
    <border>
      <left style="thin">
        <color rgb="FFD3DAE6"/>
      </left>
      <right style="thin">
        <color rgb="FFD3DAE6"/>
      </right>
      <top style="thin">
        <color rgb="FFD3DAE6"/>
      </top>
      <bottom style="thin">
        <color rgb="FFD3DAE6"/>
      </bottom>
      <diagonal/>
    </border>
  </borders>
  <cellStyleXfs count="1">
    <xf numFmtId="0" fontId="0" fillId="0" borderId="0"/>
  </cellStyleXfs>
  <cellXfs count="130">
    <xf numFmtId="0" fontId="0" fillId="0" borderId="0" xfId="0"/>
    <xf numFmtId="0" fontId="22" fillId="5" borderId="0" xfId="0" applyFont="1" applyFill="1" applyAlignment="1">
      <alignment horizontal="left" vertical="center" wrapText="1"/>
    </xf>
    <xf numFmtId="0" fontId="21" fillId="2" borderId="0" xfId="0" applyFont="1" applyFill="1" applyAlignment="1">
      <alignment horizontal="left" vertical="center" wrapText="1"/>
    </xf>
    <xf numFmtId="165" fontId="17" fillId="2" borderId="0" xfId="0" applyNumberFormat="1" applyFont="1" applyFill="1" applyAlignment="1">
      <alignment horizontal="center" vertical="center" wrapText="1"/>
    </xf>
    <xf numFmtId="0" fontId="18" fillId="3" borderId="0" xfId="0" applyFont="1" applyFill="1" applyAlignment="1">
      <alignment horizontal="center" vertical="center" wrapText="1"/>
    </xf>
    <xf numFmtId="0" fontId="1" fillId="3" borderId="0" xfId="0" applyFont="1" applyFill="1" applyAlignment="1">
      <alignment horizontal="center" vertical="center" wrapText="1"/>
    </xf>
    <xf numFmtId="164" fontId="17" fillId="2" borderId="0" xfId="0" applyNumberFormat="1" applyFont="1" applyFill="1" applyAlignment="1">
      <alignment horizontal="center" vertical="center" wrapText="1"/>
    </xf>
    <xf numFmtId="0" fontId="16" fillId="3" borderId="0" xfId="0" applyFont="1" applyFill="1" applyAlignment="1">
      <alignment horizontal="left" vertical="center" wrapText="1"/>
    </xf>
    <xf numFmtId="0" fontId="18" fillId="2" borderId="0" xfId="0" applyFont="1" applyFill="1" applyAlignment="1">
      <alignment horizontal="center" vertical="center" wrapText="1"/>
    </xf>
    <xf numFmtId="0" fontId="17" fillId="2" borderId="0" xfId="0" applyFont="1" applyFill="1" applyAlignment="1">
      <alignment horizontal="center" vertical="center" wrapText="1"/>
    </xf>
    <xf numFmtId="0" fontId="16" fillId="2" borderId="0" xfId="0" applyFont="1" applyFill="1" applyAlignment="1">
      <alignment horizontal="left" vertical="center" wrapText="1"/>
    </xf>
    <xf numFmtId="0" fontId="6" fillId="4" borderId="0" xfId="0" applyFont="1" applyFill="1"/>
    <xf numFmtId="0" fontId="15" fillId="3" borderId="0" xfId="0" applyFont="1" applyFill="1" applyAlignment="1">
      <alignment horizontal="left" vertical="center" wrapText="1"/>
    </xf>
    <xf numFmtId="0" fontId="2" fillId="3" borderId="0" xfId="0" applyFont="1" applyFill="1" applyAlignment="1">
      <alignment horizontal="left" vertical="center" wrapText="1"/>
    </xf>
    <xf numFmtId="0" fontId="1" fillId="2" borderId="0" xfId="0" applyFont="1" applyFill="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4" borderId="0" xfId="0" applyFont="1" applyFill="1" applyAlignment="1">
      <alignment horizontal="left" vertical="center" wrapText="1"/>
    </xf>
    <xf numFmtId="0" fontId="7" fillId="0" borderId="0" xfId="0" applyFont="1" applyAlignment="1">
      <alignment horizontal="left" vertical="center" wrapText="1"/>
    </xf>
    <xf numFmtId="0" fontId="8" fillId="0" borderId="0" xfId="0" applyFont="1"/>
    <xf numFmtId="0" fontId="9" fillId="0" borderId="0" xfId="0" applyFont="1" applyAlignment="1">
      <alignment horizontal="left" vertical="top" wrapText="1"/>
    </xf>
    <xf numFmtId="0" fontId="8" fillId="0" borderId="0" xfId="0" applyFont="1" applyAlignment="1">
      <alignment horizontal="left" vertical="center" wrapText="1"/>
    </xf>
    <xf numFmtId="0" fontId="10" fillId="0" borderId="0" xfId="0" applyFont="1" applyAlignment="1">
      <alignment horizontal="left" vertical="center" wrapText="1"/>
    </xf>
    <xf numFmtId="0" fontId="11" fillId="5" borderId="0" xfId="0" applyFont="1" applyFill="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14" fillId="0" borderId="0" xfId="0" applyFont="1" applyAlignment="1">
      <alignment horizontal="left" vertical="center" wrapText="1"/>
    </xf>
    <xf numFmtId="0" fontId="16" fillId="2" borderId="1" xfId="0" applyFont="1" applyFill="1" applyBorder="1" applyAlignment="1">
      <alignment horizontal="left" vertical="center" wrapText="1"/>
    </xf>
    <xf numFmtId="0" fontId="19" fillId="0" borderId="2" xfId="0" applyFont="1" applyBorder="1"/>
    <xf numFmtId="0" fontId="19" fillId="0" borderId="2" xfId="0" applyFont="1" applyBorder="1" applyAlignment="1">
      <alignment horizontal="center" vertical="center" wrapText="1"/>
    </xf>
    <xf numFmtId="9" fontId="20" fillId="0" borderId="2" xfId="0" applyNumberFormat="1" applyFont="1" applyBorder="1" applyAlignment="1">
      <alignment horizontal="center" vertical="center" wrapText="1"/>
    </xf>
    <xf numFmtId="0" fontId="24" fillId="2" borderId="1" xfId="0" applyFont="1" applyFill="1" applyBorder="1" applyAlignment="1">
      <alignment horizontal="left" vertical="center" wrapText="1"/>
    </xf>
    <xf numFmtId="0" fontId="4" fillId="0" borderId="2" xfId="0" applyFont="1" applyBorder="1" applyAlignment="1">
      <alignment horizontal="center" vertical="center" wrapText="1"/>
    </xf>
    <xf numFmtId="0" fontId="13" fillId="7" borderId="2" xfId="0" applyFont="1" applyFill="1" applyBorder="1" applyAlignment="1">
      <alignment horizontal="left" vertical="top" wrapText="1"/>
    </xf>
    <xf numFmtId="0" fontId="25" fillId="7" borderId="2" xfId="0" applyFont="1" applyFill="1" applyBorder="1" applyAlignment="1">
      <alignment horizontal="left" vertical="top" wrapText="1"/>
    </xf>
    <xf numFmtId="0" fontId="26" fillId="4" borderId="2"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9" fillId="4" borderId="2" xfId="0" applyFont="1" applyFill="1" applyBorder="1" applyAlignment="1">
      <alignment horizontal="left" vertical="center" wrapText="1"/>
    </xf>
    <xf numFmtId="166" fontId="13" fillId="7" borderId="2" xfId="0" applyNumberFormat="1" applyFont="1" applyFill="1" applyBorder="1" applyAlignment="1">
      <alignment horizontal="center" vertical="center" wrapText="1"/>
    </xf>
    <xf numFmtId="0" fontId="28" fillId="4" borderId="2" xfId="0" applyFont="1" applyFill="1" applyBorder="1" applyAlignment="1">
      <alignment horizontal="center" vertical="center" wrapText="1"/>
    </xf>
    <xf numFmtId="0" fontId="3" fillId="0" borderId="2" xfId="0" applyFont="1" applyBorder="1" applyAlignment="1">
      <alignment horizontal="left" vertical="top" wrapText="1"/>
    </xf>
    <xf numFmtId="0" fontId="19" fillId="8" borderId="2" xfId="0" applyFont="1" applyFill="1" applyBorder="1" applyAlignment="1">
      <alignment horizontal="left" vertical="top" wrapText="1"/>
    </xf>
    <xf numFmtId="0" fontId="29" fillId="8" borderId="2" xfId="0" applyFont="1" applyFill="1" applyBorder="1" applyAlignment="1">
      <alignment horizontal="left" vertical="top" wrapText="1"/>
    </xf>
    <xf numFmtId="0" fontId="30" fillId="8" borderId="2" xfId="0" applyFont="1" applyFill="1" applyBorder="1" applyAlignment="1">
      <alignment horizontal="left" vertical="top" wrapText="1"/>
    </xf>
    <xf numFmtId="0" fontId="31" fillId="8" borderId="2" xfId="0" applyFont="1" applyFill="1" applyBorder="1" applyAlignment="1">
      <alignment horizontal="left" vertical="top" wrapText="1"/>
    </xf>
    <xf numFmtId="0" fontId="3" fillId="7" borderId="2" xfId="0" applyFont="1" applyFill="1" applyBorder="1" applyAlignment="1">
      <alignment horizontal="center" vertical="center" wrapText="1"/>
    </xf>
    <xf numFmtId="0" fontId="32" fillId="4" borderId="2" xfId="0" applyFont="1" applyFill="1" applyBorder="1" applyAlignment="1">
      <alignment horizontal="center" vertical="center" wrapText="1"/>
    </xf>
    <xf numFmtId="0" fontId="19" fillId="0" borderId="2" xfId="0" applyFont="1" applyBorder="1" applyAlignment="1">
      <alignment horizontal="left" vertical="top" wrapText="1"/>
    </xf>
    <xf numFmtId="0" fontId="29" fillId="0" borderId="2" xfId="0" applyFont="1" applyBorder="1" applyAlignment="1">
      <alignment horizontal="left" vertical="top" wrapText="1"/>
    </xf>
    <xf numFmtId="0" fontId="30" fillId="0" borderId="2" xfId="0" applyFont="1" applyBorder="1" applyAlignment="1">
      <alignment horizontal="left" vertical="top" wrapText="1"/>
    </xf>
    <xf numFmtId="0" fontId="31" fillId="0" borderId="2" xfId="0" applyFont="1" applyBorder="1" applyAlignment="1">
      <alignment horizontal="left" vertical="top" wrapText="1"/>
    </xf>
    <xf numFmtId="0" fontId="34" fillId="0" borderId="2" xfId="0" applyFont="1" applyBorder="1" applyAlignment="1">
      <alignment horizontal="center" vertical="center" wrapText="1"/>
    </xf>
    <xf numFmtId="0" fontId="22" fillId="0" borderId="2" xfId="0" applyFont="1" applyBorder="1" applyAlignment="1">
      <alignment horizontal="left" vertical="top" wrapText="1"/>
    </xf>
    <xf numFmtId="0" fontId="22" fillId="7" borderId="2" xfId="0" applyFont="1" applyFill="1" applyBorder="1" applyAlignment="1">
      <alignment horizontal="center" vertical="center" wrapText="1"/>
    </xf>
    <xf numFmtId="0" fontId="13" fillId="0" borderId="2" xfId="0" applyFont="1" applyBorder="1" applyAlignment="1">
      <alignment horizontal="left" vertical="top" wrapText="1"/>
    </xf>
    <xf numFmtId="0" fontId="13" fillId="8" borderId="2" xfId="0" applyFont="1" applyFill="1" applyBorder="1" applyAlignment="1">
      <alignment horizontal="left" vertical="top" wrapText="1"/>
    </xf>
    <xf numFmtId="0" fontId="26" fillId="0" borderId="2" xfId="0" applyFont="1" applyBorder="1" applyAlignment="1">
      <alignment horizontal="left" vertical="top" wrapText="1"/>
    </xf>
    <xf numFmtId="0" fontId="36" fillId="8" borderId="2" xfId="0" applyFont="1" applyFill="1" applyBorder="1" applyAlignment="1">
      <alignment horizontal="left" vertical="top" wrapText="1"/>
    </xf>
    <xf numFmtId="0" fontId="36" fillId="0" borderId="2" xfId="0" applyFont="1" applyBorder="1" applyAlignment="1">
      <alignment horizontal="left" vertical="top" wrapText="1"/>
    </xf>
    <xf numFmtId="0" fontId="19" fillId="7" borderId="2" xfId="0" applyFont="1" applyFill="1" applyBorder="1" applyAlignment="1">
      <alignment horizontal="center" vertical="center" wrapText="1"/>
    </xf>
    <xf numFmtId="0" fontId="37" fillId="0" borderId="2" xfId="0" applyFont="1" applyBorder="1" applyAlignment="1">
      <alignment horizontal="left" vertical="top" wrapText="1"/>
    </xf>
    <xf numFmtId="0" fontId="32" fillId="0" borderId="2" xfId="0" applyFont="1" applyBorder="1" applyAlignment="1">
      <alignment horizontal="left" vertical="top" wrapText="1"/>
    </xf>
    <xf numFmtId="0" fontId="19" fillId="7" borderId="2" xfId="0" applyFont="1" applyFill="1" applyBorder="1" applyAlignment="1">
      <alignment horizontal="left" vertical="top" wrapText="1"/>
    </xf>
    <xf numFmtId="166" fontId="19" fillId="7" borderId="2" xfId="0" applyNumberFormat="1" applyFont="1" applyFill="1" applyBorder="1" applyAlignment="1">
      <alignment horizontal="center" vertical="center" wrapText="1"/>
    </xf>
    <xf numFmtId="0" fontId="38" fillId="0" borderId="2" xfId="0" applyFont="1" applyBorder="1" applyAlignment="1">
      <alignment horizontal="left" vertical="top" wrapText="1"/>
    </xf>
    <xf numFmtId="0" fontId="29" fillId="0" borderId="2" xfId="0" applyFont="1" applyBorder="1" applyAlignment="1">
      <alignment horizontal="center" vertical="center" wrapText="1"/>
    </xf>
    <xf numFmtId="166" fontId="19" fillId="0" borderId="2" xfId="0" applyNumberFormat="1" applyFont="1" applyBorder="1" applyAlignment="1">
      <alignment horizontal="center" vertical="center" wrapText="1"/>
    </xf>
    <xf numFmtId="0" fontId="29" fillId="8" borderId="2" xfId="0" applyFont="1" applyFill="1" applyBorder="1" applyAlignment="1">
      <alignment horizontal="center" vertical="center" wrapText="1"/>
    </xf>
    <xf numFmtId="166" fontId="19" fillId="8" borderId="2" xfId="0" applyNumberFormat="1" applyFont="1" applyFill="1" applyBorder="1" applyAlignment="1">
      <alignment horizontal="center" vertical="center" wrapText="1"/>
    </xf>
    <xf numFmtId="0" fontId="39" fillId="0" borderId="0" xfId="0" applyFont="1"/>
    <xf numFmtId="0" fontId="39" fillId="7" borderId="2" xfId="0" applyFont="1" applyFill="1" applyBorder="1" applyAlignment="1">
      <alignment horizontal="center" vertical="center" wrapText="1"/>
    </xf>
    <xf numFmtId="0" fontId="40" fillId="0" borderId="0" xfId="0" applyFont="1" applyAlignment="1">
      <alignment horizontal="center" vertical="center" wrapText="1"/>
    </xf>
    <xf numFmtId="0" fontId="19" fillId="8" borderId="2" xfId="0" applyFont="1" applyFill="1" applyBorder="1" applyAlignment="1">
      <alignment horizontal="center" vertical="center" wrapText="1"/>
    </xf>
    <xf numFmtId="0" fontId="33" fillId="0" borderId="0" xfId="0" applyFont="1"/>
    <xf numFmtId="0" fontId="41" fillId="7" borderId="2" xfId="0" applyFont="1" applyFill="1" applyBorder="1" applyAlignment="1">
      <alignment horizontal="left" vertical="top" wrapText="1"/>
    </xf>
    <xf numFmtId="0" fontId="20" fillId="4" borderId="2" xfId="0" applyFont="1" applyFill="1" applyBorder="1" applyAlignment="1">
      <alignment horizontal="center" vertical="center" wrapText="1"/>
    </xf>
    <xf numFmtId="0" fontId="42" fillId="0" borderId="2" xfId="0" applyFont="1" applyBorder="1" applyAlignment="1">
      <alignment horizontal="left" vertical="top" wrapText="1"/>
    </xf>
    <xf numFmtId="166" fontId="19" fillId="7" borderId="2" xfId="0" applyNumberFormat="1" applyFont="1" applyFill="1" applyBorder="1" applyAlignment="1">
      <alignment horizontal="left" vertical="top" wrapText="1"/>
    </xf>
    <xf numFmtId="0" fontId="43" fillId="0" borderId="2" xfId="0" applyFont="1" applyBorder="1" applyAlignment="1">
      <alignment horizontal="center" vertical="center" wrapText="1"/>
    </xf>
    <xf numFmtId="0" fontId="4" fillId="0" borderId="2" xfId="0" applyFont="1" applyBorder="1"/>
    <xf numFmtId="0" fontId="3" fillId="0" borderId="2" xfId="0" applyFont="1" applyBorder="1"/>
    <xf numFmtId="0" fontId="25" fillId="4" borderId="2" xfId="0" applyFont="1" applyFill="1" applyBorder="1" applyAlignment="1">
      <alignment horizontal="center" vertical="center" wrapText="1"/>
    </xf>
    <xf numFmtId="165" fontId="44" fillId="2" borderId="0" xfId="0" applyNumberFormat="1" applyFont="1" applyFill="1" applyAlignment="1">
      <alignment horizontal="center" vertical="center" wrapText="1"/>
    </xf>
    <xf numFmtId="0" fontId="45" fillId="2" borderId="0" xfId="0" applyFont="1" applyFill="1" applyAlignment="1">
      <alignment horizontal="center" vertical="center" wrapText="1"/>
    </xf>
    <xf numFmtId="165" fontId="46" fillId="2" borderId="0" xfId="0" applyNumberFormat="1" applyFont="1" applyFill="1" applyAlignment="1">
      <alignment horizontal="center" vertical="center" wrapText="1"/>
    </xf>
    <xf numFmtId="0" fontId="31" fillId="0" borderId="2" xfId="0" applyFont="1" applyBorder="1"/>
    <xf numFmtId="0" fontId="26" fillId="0" borderId="2" xfId="0" applyFont="1" applyBorder="1"/>
    <xf numFmtId="0" fontId="14" fillId="0" borderId="2" xfId="0" applyFont="1" applyBorder="1" applyAlignment="1">
      <alignment horizontal="left" vertical="top" wrapText="1"/>
    </xf>
    <xf numFmtId="9" fontId="3" fillId="4" borderId="2" xfId="0" applyNumberFormat="1" applyFont="1" applyFill="1" applyBorder="1" applyAlignment="1">
      <alignment horizontal="center" vertical="center" wrapText="1"/>
    </xf>
    <xf numFmtId="0" fontId="29" fillId="0" borderId="2" xfId="0" applyFont="1" applyBorder="1"/>
    <xf numFmtId="165" fontId="3" fillId="4" borderId="2" xfId="0" applyNumberFormat="1" applyFont="1" applyFill="1" applyBorder="1" applyAlignment="1">
      <alignment horizontal="center" vertical="center" wrapText="1"/>
    </xf>
    <xf numFmtId="0" fontId="24" fillId="3" borderId="2" xfId="0" applyFont="1" applyFill="1" applyBorder="1" applyAlignment="1">
      <alignment horizontal="left" vertical="top" wrapText="1"/>
    </xf>
    <xf numFmtId="0" fontId="26" fillId="0" borderId="2" xfId="0" applyFont="1" applyBorder="1" applyAlignment="1">
      <alignment horizontal="center" vertical="center" wrapText="1"/>
    </xf>
    <xf numFmtId="0" fontId="41" fillId="0" borderId="2" xfId="0" applyFont="1" applyBorder="1" applyAlignment="1">
      <alignment horizontal="left" vertical="top" wrapText="1"/>
    </xf>
    <xf numFmtId="0" fontId="26" fillId="7" borderId="2" xfId="0" applyFont="1" applyFill="1" applyBorder="1" applyAlignment="1">
      <alignment horizontal="center" vertical="center" wrapText="1"/>
    </xf>
    <xf numFmtId="0" fontId="24" fillId="2" borderId="2" xfId="0" applyFont="1" applyFill="1" applyBorder="1" applyAlignment="1">
      <alignment horizontal="left" vertical="top" wrapText="1"/>
    </xf>
    <xf numFmtId="0" fontId="24" fillId="6" borderId="2" xfId="0" applyFont="1" applyFill="1" applyBorder="1" applyAlignment="1">
      <alignment horizontal="left" vertical="top" wrapText="1"/>
    </xf>
    <xf numFmtId="0" fontId="24" fillId="9" borderId="2" xfId="0" applyFont="1" applyFill="1" applyBorder="1" applyAlignment="1">
      <alignment horizontal="left" vertical="top" wrapText="1"/>
    </xf>
    <xf numFmtId="0" fontId="47" fillId="8" borderId="2" xfId="0" applyFont="1" applyFill="1" applyBorder="1" applyAlignment="1">
      <alignment horizontal="center" vertical="center" wrapText="1"/>
    </xf>
    <xf numFmtId="0" fontId="48" fillId="8" borderId="2" xfId="0" applyFont="1" applyFill="1" applyBorder="1" applyAlignment="1">
      <alignment horizontal="left" vertical="top" wrapText="1"/>
    </xf>
    <xf numFmtId="0" fontId="47" fillId="0" borderId="2" xfId="0" applyFont="1" applyBorder="1" applyAlignment="1">
      <alignment horizontal="center" vertical="center" wrapText="1"/>
    </xf>
    <xf numFmtId="0" fontId="48" fillId="0" borderId="2" xfId="0" applyFont="1" applyBorder="1" applyAlignment="1">
      <alignment horizontal="left" vertical="top" wrapText="1"/>
    </xf>
    <xf numFmtId="0" fontId="49" fillId="8" borderId="2" xfId="0" applyFont="1" applyFill="1" applyBorder="1" applyAlignment="1">
      <alignment horizontal="center" vertical="center" wrapText="1"/>
    </xf>
    <xf numFmtId="0" fontId="50" fillId="0" borderId="2" xfId="0" applyFont="1" applyBorder="1" applyAlignment="1">
      <alignment horizontal="center" vertical="center" wrapText="1"/>
    </xf>
    <xf numFmtId="0" fontId="51" fillId="8" borderId="2" xfId="0" applyFont="1" applyFill="1" applyBorder="1" applyAlignment="1">
      <alignment horizontal="center" vertical="center" wrapText="1"/>
    </xf>
    <xf numFmtId="0" fontId="37" fillId="8" borderId="2" xfId="0" applyFont="1" applyFill="1" applyBorder="1" applyAlignment="1">
      <alignment horizontal="center" vertical="center" wrapText="1"/>
    </xf>
    <xf numFmtId="0" fontId="37" fillId="0" borderId="2" xfId="0" applyFont="1" applyBorder="1" applyAlignment="1">
      <alignment horizontal="center" vertical="center" wrapText="1"/>
    </xf>
    <xf numFmtId="0" fontId="52" fillId="8" borderId="2" xfId="0" applyFont="1" applyFill="1" applyBorder="1" applyAlignment="1">
      <alignment horizontal="center" vertical="center" wrapText="1"/>
    </xf>
    <xf numFmtId="0" fontId="52" fillId="0" borderId="2" xfId="0" applyFont="1" applyBorder="1" applyAlignment="1">
      <alignment horizontal="center" vertical="center" wrapText="1"/>
    </xf>
    <xf numFmtId="0" fontId="51" fillId="0" borderId="2" xfId="0" applyFont="1" applyBorder="1" applyAlignment="1">
      <alignment horizontal="center" vertical="center" wrapText="1"/>
    </xf>
    <xf numFmtId="0" fontId="49" fillId="0" borderId="2" xfId="0" applyFont="1" applyBorder="1" applyAlignment="1">
      <alignment horizontal="center" vertical="center" wrapText="1"/>
    </xf>
    <xf numFmtId="0" fontId="50" fillId="8" borderId="2" xfId="0" applyFont="1" applyFill="1" applyBorder="1" applyAlignment="1">
      <alignment horizontal="center" vertical="center" wrapText="1"/>
    </xf>
    <xf numFmtId="0" fontId="22" fillId="4" borderId="0" xfId="0" applyFont="1" applyFill="1"/>
    <xf numFmtId="0" fontId="7" fillId="7" borderId="2" xfId="0" applyFont="1" applyFill="1" applyBorder="1"/>
    <xf numFmtId="0" fontId="7" fillId="0" borderId="2" xfId="0" applyFont="1" applyBorder="1"/>
    <xf numFmtId="0" fontId="13" fillId="0" borderId="2" xfId="0" applyFont="1" applyBorder="1"/>
    <xf numFmtId="0" fontId="0" fillId="7" borderId="2" xfId="0" applyFill="1" applyBorder="1"/>
    <xf numFmtId="0" fontId="13" fillId="0" borderId="2" xfId="0" applyFont="1" applyBorder="1" applyAlignment="1">
      <alignment horizontal="center" vertical="center" wrapText="1"/>
    </xf>
    <xf numFmtId="0" fontId="13" fillId="7" borderId="2" xfId="0" applyFont="1" applyFill="1" applyBorder="1"/>
    <xf numFmtId="0" fontId="13" fillId="7" borderId="2" xfId="0" applyFont="1" applyFill="1" applyBorder="1" applyAlignment="1">
      <alignment horizontal="center" vertical="center" wrapText="1"/>
    </xf>
    <xf numFmtId="0" fontId="5" fillId="0" borderId="0" xfId="0" applyFont="1" applyAlignment="1">
      <alignment horizontal="left" vertical="top" wrapText="1"/>
    </xf>
    <xf numFmtId="0" fontId="23" fillId="2" borderId="0" xfId="0" applyFont="1" applyFill="1" applyAlignment="1">
      <alignment horizontal="left" vertical="center" wrapText="1"/>
    </xf>
    <xf numFmtId="0" fontId="15" fillId="6" borderId="0" xfId="0" applyFont="1" applyFill="1" applyAlignment="1">
      <alignment horizontal="left" vertical="center" wrapText="1"/>
    </xf>
    <xf numFmtId="0" fontId="20" fillId="4" borderId="0" xfId="0" applyFont="1" applyFill="1" applyAlignment="1">
      <alignment horizontal="left" vertical="center" wrapText="1"/>
    </xf>
    <xf numFmtId="0" fontId="33" fillId="5" borderId="0" xfId="0" applyFont="1" applyFill="1" applyAlignment="1">
      <alignment horizontal="left" vertical="top" wrapText="1"/>
    </xf>
    <xf numFmtId="0" fontId="22" fillId="4" borderId="0" xfId="0" applyFont="1" applyFill="1" applyAlignment="1">
      <alignment horizontal="left" vertical="center" wrapText="1"/>
    </xf>
    <xf numFmtId="0" fontId="35" fillId="5" borderId="0" xfId="0" applyFont="1" applyFill="1" applyAlignment="1">
      <alignment horizontal="left" vertical="center" wrapText="1"/>
    </xf>
    <xf numFmtId="0" fontId="33" fillId="5" borderId="0" xfId="0" applyFont="1" applyFill="1" applyAlignment="1">
      <alignment horizontal="left" vertical="center" wrapText="1"/>
    </xf>
    <xf numFmtId="0" fontId="14" fillId="0" borderId="0" xfId="0" applyFont="1" applyAlignment="1">
      <alignment horizontal="left" vertical="top" wrapText="1"/>
    </xf>
  </cellXfs>
  <cellStyles count="1">
    <cellStyle name="Normal" xfId="0" builtinId="0"/>
  </cellStyles>
  <dxfs count="43">
    <dxf>
      <font>
        <b/>
        <sz val="9"/>
        <color rgb="FFA4560F"/>
        <name val="Arial"/>
        <charset val="1"/>
      </font>
      <fill>
        <patternFill>
          <bgColor rgb="FFFDEEDE"/>
        </patternFill>
      </fill>
    </dxf>
    <dxf>
      <font>
        <b/>
        <sz val="9"/>
        <color rgb="FF1E6B4F"/>
        <name val="Arial"/>
        <charset val="1"/>
      </font>
      <fill>
        <patternFill>
          <bgColor rgb="FFE0F0E8"/>
        </patternFill>
      </fill>
    </dxf>
    <dxf>
      <font>
        <b/>
        <sz val="9"/>
        <color rgb="FFB3261E"/>
        <name val="Arial"/>
        <charset val="1"/>
      </font>
      <fill>
        <patternFill>
          <bgColor rgb="FFF9DEDC"/>
        </patternFill>
      </fill>
    </dxf>
    <dxf>
      <font>
        <b/>
        <sz val="9"/>
        <color rgb="FFA4560F"/>
        <name val="Arial"/>
        <charset val="1"/>
      </font>
      <fill>
        <patternFill>
          <bgColor rgb="FFFDEEDE"/>
        </patternFill>
      </fill>
    </dxf>
    <dxf>
      <font>
        <b/>
        <sz val="9"/>
        <color rgb="FF1E6B4F"/>
        <name val="Arial"/>
        <charset val="1"/>
      </font>
      <fill>
        <patternFill>
          <bgColor rgb="FFE0F0E8"/>
        </patternFill>
      </fill>
    </dxf>
    <dxf>
      <font>
        <b/>
        <sz val="9"/>
        <color rgb="FF1E6B4F"/>
        <name val="Arial"/>
        <charset val="1"/>
      </font>
      <fill>
        <patternFill>
          <bgColor rgb="FFE0F0E8"/>
        </patternFill>
      </fill>
    </dxf>
    <dxf>
      <font>
        <b/>
        <sz val="9"/>
        <color rgb="FFB3261E"/>
        <name val="Arial"/>
        <charset val="1"/>
      </font>
      <fill>
        <patternFill>
          <bgColor rgb="FFF9DEDC"/>
        </patternFill>
      </fill>
    </dxf>
    <dxf>
      <font>
        <b/>
        <sz val="9"/>
        <color rgb="FF1E6B4F"/>
        <name val="Arial"/>
        <charset val="1"/>
      </font>
      <fill>
        <patternFill>
          <bgColor rgb="FFE0F0E8"/>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1E6B4F"/>
        <name val="Arial"/>
        <charset val="1"/>
      </font>
      <fill>
        <patternFill>
          <bgColor rgb="FFE0F0E8"/>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B3261E"/>
        <name val="Arial"/>
        <charset val="1"/>
      </font>
      <fill>
        <patternFill>
          <bgColor rgb="FFF9DEDC"/>
        </patternFill>
      </fill>
    </dxf>
    <dxf>
      <font>
        <b/>
        <sz val="9"/>
        <color rgb="FF1E6B4F"/>
        <name val="Arial"/>
        <charset val="1"/>
      </font>
      <fill>
        <patternFill>
          <bgColor rgb="FFE0F0E8"/>
        </patternFill>
      </fill>
    </dxf>
    <dxf>
      <font>
        <b/>
        <sz val="9"/>
        <color rgb="FFB3261E"/>
        <name val="Arial"/>
        <charset val="1"/>
      </font>
      <fill>
        <patternFill>
          <bgColor rgb="FFF9DEDC"/>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A4560F"/>
        <name val="Arial"/>
        <charset val="1"/>
      </font>
      <fill>
        <patternFill>
          <bgColor rgb="FFFDEEDE"/>
        </patternFill>
      </fill>
    </dxf>
    <dxf>
      <font>
        <b/>
        <sz val="9"/>
        <color rgb="FFA4560F"/>
        <name val="Arial"/>
        <charset val="1"/>
      </font>
      <fill>
        <patternFill>
          <bgColor rgb="FFFDEEDE"/>
        </patternFill>
      </fill>
    </dxf>
    <dxf>
      <font>
        <b/>
        <sz val="9"/>
        <color rgb="FF1E6B4F"/>
        <name val="Arial"/>
        <charset val="1"/>
      </font>
      <fill>
        <patternFill>
          <bgColor rgb="FFE0F0E8"/>
        </patternFill>
      </fill>
    </dxf>
    <dxf>
      <font>
        <b/>
        <sz val="9"/>
        <color rgb="FFB3261E"/>
        <name val="Arial"/>
        <charset val="1"/>
      </font>
      <fill>
        <patternFill>
          <bgColor rgb="FFF9DEDC"/>
        </patternFill>
      </fill>
    </dxf>
    <dxf>
      <font>
        <b/>
        <sz val="9"/>
        <color rgb="FFB3261E"/>
        <name val="Arial"/>
        <charset val="1"/>
      </font>
      <fill>
        <patternFill>
          <bgColor rgb="FFF9DEDC"/>
        </patternFill>
      </fill>
    </dxf>
    <dxf>
      <font>
        <b/>
        <sz val="9"/>
        <color rgb="FF808080"/>
        <name val="Arial"/>
        <charset val="1"/>
      </font>
      <fill>
        <patternFill>
          <bgColor rgb="FFF2F2F2"/>
        </patternFill>
      </fill>
    </dxf>
    <dxf>
      <font>
        <b/>
        <sz val="9"/>
        <color rgb="FFA4560F"/>
        <name val="Arial"/>
        <charset val="1"/>
      </font>
      <fill>
        <patternFill>
          <bgColor rgb="FFFDEEDE"/>
        </patternFill>
      </fill>
    </dxf>
    <dxf>
      <font>
        <b/>
        <sz val="9"/>
        <color rgb="FF1E6B4F"/>
        <name val="Arial"/>
        <charset val="1"/>
      </font>
      <fill>
        <patternFill>
          <bgColor rgb="FFE0F0E8"/>
        </patternFill>
      </fill>
    </dxf>
    <dxf>
      <font>
        <b/>
        <sz val="9"/>
        <color rgb="FF1A2C52"/>
        <name val="Arial"/>
        <charset val="1"/>
      </font>
      <fill>
        <patternFill>
          <bgColor rgb="FFE7ECF5"/>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A4560F"/>
        <name val="Arial"/>
        <charset val="1"/>
      </font>
      <fill>
        <patternFill>
          <bgColor rgb="FFFDEEDE"/>
        </patternFill>
      </fill>
    </dxf>
    <dxf>
      <font>
        <b/>
        <sz val="9"/>
        <color rgb="FFA4560F"/>
        <name val="Arial"/>
        <charset val="1"/>
      </font>
      <fill>
        <patternFill>
          <bgColor rgb="FFFDEEDE"/>
        </patternFill>
      </fill>
    </dxf>
    <dxf>
      <font>
        <b/>
        <sz val="9"/>
        <color rgb="FF1E6B4F"/>
        <name val="Arial"/>
        <charset val="1"/>
      </font>
      <fill>
        <patternFill>
          <bgColor rgb="FFE0F0E8"/>
        </patternFill>
      </fill>
    </dxf>
    <dxf>
      <font>
        <b/>
        <sz val="9"/>
        <color rgb="FF1A2C52"/>
        <name val="Arial"/>
        <charset val="1"/>
      </font>
      <fill>
        <patternFill>
          <bgColor rgb="FFE7ECF5"/>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1E6B4F"/>
        <name val="Arial"/>
        <charset val="1"/>
      </font>
      <fill>
        <patternFill>
          <bgColor rgb="FFE0F0E8"/>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1E6B4F"/>
        <name val="Arial"/>
        <charset val="1"/>
      </font>
      <fill>
        <patternFill>
          <bgColor rgb="FFE0F0E8"/>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B3261E"/>
        <name val="Arial"/>
        <charset val="1"/>
      </font>
      <fill>
        <patternFill>
          <bgColor rgb="FFF9DEDC"/>
        </patternFill>
      </fill>
    </dxf>
    <dxf>
      <font>
        <b/>
        <sz val="9"/>
        <color rgb="FFA4560F"/>
        <name val="Arial"/>
        <charset val="1"/>
      </font>
      <fill>
        <patternFill>
          <bgColor rgb="FFFDEEDE"/>
        </patternFill>
      </fill>
    </dxf>
  </dxfs>
  <tableStyles count="0" defaultTableStyle="TableStyleMedium2" defaultPivotStyle="PivotStyleLight16"/>
  <colors>
    <indexedColors>
      <rgbColor rgb="FF000000"/>
      <rgbColor rgb="FFFFFFFF"/>
      <rgbColor rgb="FFFF0000"/>
      <rgbColor rgb="FF00FF00"/>
      <rgbColor rgb="FF0000FF"/>
      <rgbColor rgb="FFF9F9F9"/>
      <rgbColor rgb="FFFF00FF"/>
      <rgbColor rgb="FF00FFFF"/>
      <rgbColor rgb="FF800000"/>
      <rgbColor rgb="FF008000"/>
      <rgbColor rgb="FF011A43"/>
      <rgbColor rgb="FFA4560F"/>
      <rgbColor rgb="FF800080"/>
      <rgbColor rgb="FF1E6B4F"/>
      <rgbColor rgb="FFBBBBBB"/>
      <rgbColor rgb="FF808080"/>
      <rgbColor rgb="FF9999FF"/>
      <rgbColor rgb="FF5A4632"/>
      <rgbColor rgb="FFFFF7D6"/>
      <rgbColor rgb="FFE0F0E8"/>
      <rgbColor rgb="FF660066"/>
      <rgbColor rgb="FFFF8080"/>
      <rgbColor rgb="FF3A5488"/>
      <rgbColor rgb="FFC9D3E6"/>
      <rgbColor rgb="FF000080"/>
      <rgbColor rgb="FFFF00FF"/>
      <rgbColor rgb="FFF5F8FC"/>
      <rgbColor rgb="FF00FFFF"/>
      <rgbColor rgb="FF800080"/>
      <rgbColor rgb="FF800000"/>
      <rgbColor rgb="FF008080"/>
      <rgbColor rgb="FF0000FF"/>
      <rgbColor rgb="FF00CCFF"/>
      <rgbColor rgb="FFE7ECF5"/>
      <rgbColor rgb="FFEEF1F6"/>
      <rgbColor rgb="FFFDEEDE"/>
      <rgbColor rgb="FFD3DAE6"/>
      <rgbColor rgb="FFF2F2F2"/>
      <rgbColor rgb="FFD9D9D9"/>
      <rgbColor rgb="FFF9DEDC"/>
      <rgbColor rgb="FF4A7EBB"/>
      <rgbColor rgb="FF33CCCC"/>
      <rgbColor rgb="FF99CC00"/>
      <rgbColor rgb="FFFFCC00"/>
      <rgbColor rgb="FFFF9900"/>
      <rgbColor rgb="FFE8641C"/>
      <rgbColor rgb="FF5B6B83"/>
      <rgbColor rgb="FF878787"/>
      <rgbColor rgb="FF1A2C52"/>
      <rgbColor rgb="FF4F81BD"/>
      <rgbColor rgb="FF444444"/>
      <rgbColor rgb="FF1A1A1A"/>
      <rgbColor rgb="FFB3261E"/>
      <rgbColor rgb="FF993366"/>
      <rgbColor rgb="FF2B4A8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Completion by governance domain</a:t>
            </a:r>
          </a:p>
        </c:rich>
      </c:tx>
      <c:overlay val="0"/>
      <c:spPr>
        <a:noFill/>
        <a:ln w="0">
          <a:noFill/>
        </a:ln>
      </c:spPr>
    </c:title>
    <c:autoTitleDeleted val="0"/>
    <c:plotArea>
      <c:layout/>
      <c:barChart>
        <c:barDir val="bar"/>
        <c:grouping val="clustered"/>
        <c:varyColors val="0"/>
        <c:ser>
          <c:idx val="0"/>
          <c:order val="0"/>
          <c:tx>
            <c:strRef>
              <c:f>'Command Center'!$N$21</c:f>
              <c:strCache>
                <c:ptCount val="1"/>
                <c:pt idx="0">
                  <c:v>% Complete</c:v>
                </c:pt>
              </c:strCache>
            </c:strRef>
          </c:tx>
          <c:spPr>
            <a:solidFill>
              <a:srgbClr val="4F81BD"/>
            </a:solidFill>
            <a:ln w="9360">
              <a:solidFill>
                <a:srgbClr val="F9F9F9"/>
              </a:solidFill>
              <a:round/>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'Command Center'!$K$22:$K$38</c:f>
              <c:strCache>
                <c:ptCount val="17"/>
                <c:pt idx="0">
                  <c:v>Governance &amp; Accountability</c:v>
                </c:pt>
                <c:pt idx="1">
                  <c:v>Risk Management</c:v>
                </c:pt>
                <c:pt idx="2">
                  <c:v>Security (AI-specific)</c:v>
                </c:pt>
                <c:pt idx="3">
                  <c:v>Data Governance</c:v>
                </c:pt>
                <c:pt idx="4">
                  <c:v>Operations &amp; Lifecycle</c:v>
                </c:pt>
                <c:pt idx="5">
                  <c:v>Compliance &amp; Legal</c:v>
                </c:pt>
                <c:pt idx="6">
                  <c:v>Monitoring &amp; Measurement</c:v>
                </c:pt>
                <c:pt idx="7">
                  <c:v>Human Oversight</c:v>
                </c:pt>
                <c:pt idx="8">
                  <c:v>Documentation &amp; Evidence</c:v>
                </c:pt>
                <c:pt idx="9">
                  <c:v>Vendor &amp; Third-Party</c:v>
                </c:pt>
                <c:pt idx="10">
                  <c:v>Training &amp; Competence</c:v>
                </c:pt>
                <c:pt idx="11">
                  <c:v>Audit &amp; Assurance</c:v>
                </c:pt>
                <c:pt idx="12">
                  <c:v>Incident &amp; Continuity</c:v>
                </c:pt>
                <c:pt idx="13">
                  <c:v>Transparency &amp; Explainability</c:v>
                </c:pt>
                <c:pt idx="14">
                  <c:v>Bias, Fairness &amp; Ethics</c:v>
                </c:pt>
                <c:pt idx="15">
                  <c:v>Foundation Models &amp; Agentic AI</c:v>
                </c:pt>
                <c:pt idx="16">
                  <c:v>Program Foundations (cross-cutting)</c:v>
                </c:pt>
              </c:strCache>
            </c:strRef>
          </c:cat>
          <c:val>
            <c:numRef>
              <c:f>'Command Center'!$N$22:$N$38</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E05E-4668-8B0B-7A48038CD58E}"/>
            </c:ext>
          </c:extLst>
        </c:ser>
        <c:dLbls>
          <c:showLegendKey val="0"/>
          <c:showVal val="0"/>
          <c:showCatName val="0"/>
          <c:showSerName val="0"/>
          <c:showPercent val="0"/>
          <c:showBubbleSize val="0"/>
        </c:dLbls>
        <c:gapWidth val="150"/>
        <c:axId val="84274115"/>
        <c:axId val="15047007"/>
      </c:barChart>
      <c:catAx>
        <c:axId val="84274115"/>
        <c:scaling>
          <c:orientation val="minMax"/>
        </c:scaling>
        <c:delete val="0"/>
        <c:axPos val="l"/>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15047007"/>
        <c:crosses val="autoZero"/>
        <c:auto val="1"/>
        <c:lblAlgn val="ctr"/>
        <c:lblOffset val="100"/>
        <c:noMultiLvlLbl val="0"/>
      </c:catAx>
      <c:valAx>
        <c:axId val="15047007"/>
        <c:scaling>
          <c:orientation val="minMax"/>
        </c:scaling>
        <c:delete val="0"/>
        <c:axPos val="b"/>
        <c:majorGridlines>
          <c:spPr>
            <a:ln w="9360">
              <a:solidFill>
                <a:srgbClr val="878787"/>
              </a:solidFill>
              <a:round/>
            </a:ln>
          </c:spPr>
        </c:majorGridlines>
        <c:numFmt formatCode="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84274115"/>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Maturity profile (target: 3 on every axis)</a:t>
            </a:r>
          </a:p>
        </c:rich>
      </c:tx>
      <c:overlay val="0"/>
      <c:spPr>
        <a:noFill/>
        <a:ln w="0">
          <a:noFill/>
        </a:ln>
      </c:spPr>
    </c:title>
    <c:autoTitleDeleted val="0"/>
    <c:plotArea>
      <c:layout/>
      <c:radarChart>
        <c:radarStyle val="marker"/>
        <c:varyColors val="0"/>
        <c:ser>
          <c:idx val="0"/>
          <c:order val="0"/>
          <c:tx>
            <c:strRef>
              <c:f>'20. Maturity'!$D$5</c:f>
              <c:strCache>
                <c:ptCount val="1"/>
                <c:pt idx="0">
                  <c:v>Your Score</c:v>
                </c:pt>
              </c:strCache>
            </c:strRef>
          </c:tx>
          <c:spPr>
            <a:ln w="66600">
              <a:solidFill>
                <a:srgbClr val="4A7EBB"/>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'20. Maturity'!$B$6:$B$15</c:f>
              <c:strCache>
                <c:ptCount val="10"/>
                <c:pt idx="0">
                  <c:v>Strategy &amp; Leadership</c:v>
                </c:pt>
                <c:pt idx="1">
                  <c:v>Policy Framework</c:v>
                </c:pt>
                <c:pt idx="2">
                  <c:v>Risk Management</c:v>
                </c:pt>
                <c:pt idx="3">
                  <c:v>Control Implementation</c:v>
                </c:pt>
                <c:pt idx="4">
                  <c:v>Technology &amp; Tooling</c:v>
                </c:pt>
                <c:pt idx="5">
                  <c:v>Evidence &amp; Documentation</c:v>
                </c:pt>
                <c:pt idx="6">
                  <c:v>Monitoring &amp; Post-Market</c:v>
                </c:pt>
                <c:pt idx="7">
                  <c:v>Assurance &amp; Audit</c:v>
                </c:pt>
                <c:pt idx="8">
                  <c:v>Third-Party &amp; Supply Chain</c:v>
                </c:pt>
                <c:pt idx="9">
                  <c:v>People &amp; AI Literacy</c:v>
                </c:pt>
              </c:strCache>
            </c:strRef>
          </c:cat>
          <c:val>
            <c:numRef>
              <c:f>'20. Maturity'!$D$6:$D$15</c:f>
              <c:numCache>
                <c:formatCode>General</c:formatCode>
                <c:ptCount val="10"/>
              </c:numCache>
            </c:numRef>
          </c:val>
          <c:extLst>
            <c:ext xmlns:c16="http://schemas.microsoft.com/office/drawing/2014/chart" uri="{C3380CC4-5D6E-409C-BE32-E72D297353CC}">
              <c16:uniqueId val="{00000000-84CE-4F74-B3EF-F49AE8569278}"/>
            </c:ext>
          </c:extLst>
        </c:ser>
        <c:dLbls>
          <c:showLegendKey val="0"/>
          <c:showVal val="0"/>
          <c:showCatName val="0"/>
          <c:showSerName val="0"/>
          <c:showPercent val="0"/>
          <c:showBubbleSize val="0"/>
        </c:dLbls>
        <c:axId val="81590769"/>
        <c:axId val="65992950"/>
      </c:radarChart>
      <c:catAx>
        <c:axId val="81590769"/>
        <c:scaling>
          <c:orientation val="maxMin"/>
        </c:scaling>
        <c:delete val="0"/>
        <c:axPos val="b"/>
        <c:numFmt formatCode="General" sourceLinked="1"/>
        <c:majorTickMark val="none"/>
        <c:minorTickMark val="none"/>
        <c:tickLblPos val="nextTo"/>
        <c:spPr>
          <a:ln w="9360">
            <a:noFill/>
          </a:ln>
        </c:spPr>
        <c:txPr>
          <a:bodyPr/>
          <a:lstStyle/>
          <a:p>
            <a:pPr>
              <a:defRPr sz="1000" b="0" strike="noStrike" spc="-1">
                <a:solidFill>
                  <a:srgbClr val="000000"/>
                </a:solidFill>
                <a:latin typeface="Calibri"/>
              </a:defRPr>
            </a:pPr>
            <a:endParaRPr lang="en-US"/>
          </a:p>
        </c:txPr>
        <c:crossAx val="65992950"/>
        <c:crosses val="autoZero"/>
        <c:auto val="1"/>
        <c:lblAlgn val="ctr"/>
        <c:lblOffset val="100"/>
        <c:noMultiLvlLbl val="0"/>
      </c:catAx>
      <c:valAx>
        <c:axId val="65992950"/>
        <c:scaling>
          <c:orientation val="minMax"/>
        </c:scaling>
        <c:delete val="0"/>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81590769"/>
        <c:crosses val="autoZero"/>
        <c:crossBetween val="midCat"/>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20</xdr:row>
      <xdr:rowOff>0</xdr:rowOff>
    </xdr:from>
    <xdr:to>
      <xdr:col>7</xdr:col>
      <xdr:colOff>1044720</xdr:colOff>
      <xdr:row>40</xdr:row>
      <xdr:rowOff>423720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16</xdr:col>
      <xdr:colOff>255960</xdr:colOff>
      <xdr:row>17</xdr:row>
      <xdr:rowOff>123840</xdr:rowOff>
    </xdr:to>
    <xdr:graphicFrame macro="">
      <xdr:nvGraphicFramePr>
        <xdr:cNvPr id="2" name="Chart 1">
          <a:extLst>
            <a:ext uri="{FF2B5EF4-FFF2-40B4-BE49-F238E27FC236}">
              <a16:creationId xmlns:a16="http://schemas.microsoft.com/office/drawing/2014/main" id="{00000000-0008-0000-1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11A43"/>
    <pageSetUpPr fitToPage="1"/>
  </sheetPr>
  <dimension ref="B2:B79"/>
  <sheetViews>
    <sheetView showGridLines="0" zoomScaleNormal="100" workbookViewId="0"/>
  </sheetViews>
  <sheetFormatPr defaultColWidth="8.6640625" defaultRowHeight="14.25" x14ac:dyDescent="0.45"/>
  <cols>
    <col min="1" max="1" width="2" customWidth="1"/>
    <col min="2" max="2" width="96" customWidth="1"/>
    <col min="3" max="3" width="2" customWidth="1"/>
  </cols>
  <sheetData>
    <row r="2" spans="2:2" ht="27.75" customHeight="1" x14ac:dyDescent="0.45">
      <c r="B2" s="14" t="s">
        <v>0</v>
      </c>
    </row>
    <row r="3" spans="2:2" ht="15.75" customHeight="1" x14ac:dyDescent="0.45">
      <c r="B3" s="14"/>
    </row>
    <row r="4" spans="2:2" ht="19.5" customHeight="1" x14ac:dyDescent="0.45">
      <c r="B4" s="13" t="s">
        <v>1</v>
      </c>
    </row>
    <row r="5" spans="2:2" ht="12" customHeight="1" x14ac:dyDescent="0.45">
      <c r="B5" s="13"/>
    </row>
    <row r="7" spans="2:2" x14ac:dyDescent="0.45">
      <c r="B7" s="15" t="s">
        <v>2</v>
      </c>
    </row>
    <row r="8" spans="2:2" x14ac:dyDescent="0.45">
      <c r="B8" s="16" t="s">
        <v>3</v>
      </c>
    </row>
    <row r="9" spans="2:2" ht="22.5" x14ac:dyDescent="0.45">
      <c r="B9" s="17" t="s">
        <v>4</v>
      </c>
    </row>
    <row r="10" spans="2:2" ht="24" customHeight="1" x14ac:dyDescent="0.45">
      <c r="B10" s="18" t="s">
        <v>5</v>
      </c>
    </row>
    <row r="11" spans="2:2" ht="61.5" customHeight="1" x14ac:dyDescent="0.45">
      <c r="B11" s="19" t="s">
        <v>6</v>
      </c>
    </row>
    <row r="13" spans="2:2" ht="24" customHeight="1" x14ac:dyDescent="0.45">
      <c r="B13" s="18" t="s">
        <v>7</v>
      </c>
    </row>
    <row r="14" spans="2:2" ht="43.5" customHeight="1" x14ac:dyDescent="0.45">
      <c r="B14" s="19" t="s">
        <v>8</v>
      </c>
    </row>
    <row r="16" spans="2:2" ht="24" customHeight="1" x14ac:dyDescent="0.45">
      <c r="B16" s="18" t="s">
        <v>9</v>
      </c>
    </row>
    <row r="17" spans="2:2" ht="15" customHeight="1" x14ac:dyDescent="0.45">
      <c r="B17" s="20" t="s">
        <v>10</v>
      </c>
    </row>
    <row r="18" spans="2:2" ht="24" customHeight="1" x14ac:dyDescent="0.45">
      <c r="B18" s="21" t="s">
        <v>11</v>
      </c>
    </row>
    <row r="19" spans="2:2" ht="15" customHeight="1" x14ac:dyDescent="0.45">
      <c r="B19" s="20" t="s">
        <v>12</v>
      </c>
    </row>
    <row r="20" spans="2:2" ht="24" customHeight="1" x14ac:dyDescent="0.45">
      <c r="B20" s="21" t="s">
        <v>13</v>
      </c>
    </row>
    <row r="21" spans="2:2" ht="15" customHeight="1" x14ac:dyDescent="0.45">
      <c r="B21" s="20" t="s">
        <v>14</v>
      </c>
    </row>
    <row r="22" spans="2:2" ht="24" customHeight="1" x14ac:dyDescent="0.45">
      <c r="B22" s="21" t="s">
        <v>15</v>
      </c>
    </row>
    <row r="23" spans="2:2" ht="15" customHeight="1" x14ac:dyDescent="0.45">
      <c r="B23" s="20" t="s">
        <v>16</v>
      </c>
    </row>
    <row r="24" spans="2:2" ht="24" customHeight="1" x14ac:dyDescent="0.45">
      <c r="B24" s="21" t="s">
        <v>17</v>
      </c>
    </row>
    <row r="25" spans="2:2" ht="15" customHeight="1" x14ac:dyDescent="0.45">
      <c r="B25" s="20" t="s">
        <v>18</v>
      </c>
    </row>
    <row r="26" spans="2:2" ht="24" customHeight="1" x14ac:dyDescent="0.45">
      <c r="B26" s="21" t="s">
        <v>19</v>
      </c>
    </row>
    <row r="27" spans="2:2" ht="15" customHeight="1" x14ac:dyDescent="0.45">
      <c r="B27" s="20" t="s">
        <v>20</v>
      </c>
    </row>
    <row r="28" spans="2:2" ht="24" customHeight="1" x14ac:dyDescent="0.45">
      <c r="B28" s="21" t="s">
        <v>21</v>
      </c>
    </row>
    <row r="29" spans="2:2" ht="15" customHeight="1" x14ac:dyDescent="0.45">
      <c r="B29" s="20" t="s">
        <v>22</v>
      </c>
    </row>
    <row r="30" spans="2:2" ht="24" customHeight="1" x14ac:dyDescent="0.45">
      <c r="B30" s="21" t="s">
        <v>23</v>
      </c>
    </row>
    <row r="31" spans="2:2" ht="15" customHeight="1" x14ac:dyDescent="0.45">
      <c r="B31" s="20" t="s">
        <v>24</v>
      </c>
    </row>
    <row r="32" spans="2:2" ht="24" customHeight="1" x14ac:dyDescent="0.45">
      <c r="B32" s="21" t="s">
        <v>25</v>
      </c>
    </row>
    <row r="33" spans="2:2" ht="15" customHeight="1" x14ac:dyDescent="0.45">
      <c r="B33" s="20" t="s">
        <v>26</v>
      </c>
    </row>
    <row r="34" spans="2:2" ht="24" customHeight="1" x14ac:dyDescent="0.45">
      <c r="B34" s="21" t="s">
        <v>27</v>
      </c>
    </row>
    <row r="35" spans="2:2" ht="15" customHeight="1" x14ac:dyDescent="0.45">
      <c r="B35" s="20" t="s">
        <v>28</v>
      </c>
    </row>
    <row r="36" spans="2:2" ht="24" customHeight="1" x14ac:dyDescent="0.45">
      <c r="B36" s="21" t="s">
        <v>29</v>
      </c>
    </row>
    <row r="37" spans="2:2" ht="15" customHeight="1" x14ac:dyDescent="0.45">
      <c r="B37" s="20" t="s">
        <v>30</v>
      </c>
    </row>
    <row r="38" spans="2:2" ht="24" customHeight="1" x14ac:dyDescent="0.45">
      <c r="B38" s="21" t="s">
        <v>31</v>
      </c>
    </row>
    <row r="39" spans="2:2" ht="15" customHeight="1" x14ac:dyDescent="0.45">
      <c r="B39" s="20" t="s">
        <v>32</v>
      </c>
    </row>
    <row r="40" spans="2:2" ht="24" customHeight="1" x14ac:dyDescent="0.45">
      <c r="B40" s="21" t="s">
        <v>33</v>
      </c>
    </row>
    <row r="41" spans="2:2" ht="15" customHeight="1" x14ac:dyDescent="0.45">
      <c r="B41" s="20" t="s">
        <v>34</v>
      </c>
    </row>
    <row r="42" spans="2:2" ht="24" customHeight="1" x14ac:dyDescent="0.45">
      <c r="B42" s="21" t="s">
        <v>35</v>
      </c>
    </row>
    <row r="43" spans="2:2" ht="15" customHeight="1" x14ac:dyDescent="0.45">
      <c r="B43" s="20" t="s">
        <v>36</v>
      </c>
    </row>
    <row r="44" spans="2:2" ht="24" customHeight="1" x14ac:dyDescent="0.45">
      <c r="B44" s="21" t="s">
        <v>37</v>
      </c>
    </row>
    <row r="45" spans="2:2" ht="15" customHeight="1" x14ac:dyDescent="0.45">
      <c r="B45" s="20" t="s">
        <v>38</v>
      </c>
    </row>
    <row r="46" spans="2:2" ht="24" customHeight="1" x14ac:dyDescent="0.45">
      <c r="B46" s="21" t="s">
        <v>39</v>
      </c>
    </row>
    <row r="47" spans="2:2" ht="15" customHeight="1" x14ac:dyDescent="0.45">
      <c r="B47" s="22" t="s">
        <v>40</v>
      </c>
    </row>
    <row r="48" spans="2:2" ht="24" customHeight="1" x14ac:dyDescent="0.45">
      <c r="B48" s="21" t="s">
        <v>41</v>
      </c>
    </row>
    <row r="49" spans="2:2" ht="15" customHeight="1" x14ac:dyDescent="0.45">
      <c r="B49" s="22" t="s">
        <v>42</v>
      </c>
    </row>
    <row r="50" spans="2:2" ht="24" customHeight="1" x14ac:dyDescent="0.45">
      <c r="B50" s="21" t="s">
        <v>43</v>
      </c>
    </row>
    <row r="51" spans="2:2" ht="15" customHeight="1" x14ac:dyDescent="0.45">
      <c r="B51" s="20" t="s">
        <v>44</v>
      </c>
    </row>
    <row r="52" spans="2:2" ht="24" customHeight="1" x14ac:dyDescent="0.45">
      <c r="B52" s="21" t="s">
        <v>45</v>
      </c>
    </row>
    <row r="53" spans="2:2" ht="15" customHeight="1" x14ac:dyDescent="0.45">
      <c r="B53" s="20" t="s">
        <v>46</v>
      </c>
    </row>
    <row r="54" spans="2:2" ht="24" customHeight="1" x14ac:dyDescent="0.45">
      <c r="B54" s="21" t="s">
        <v>47</v>
      </c>
    </row>
    <row r="55" spans="2:2" ht="15" customHeight="1" x14ac:dyDescent="0.45">
      <c r="B55" s="20" t="s">
        <v>48</v>
      </c>
    </row>
    <row r="56" spans="2:2" ht="24" customHeight="1" x14ac:dyDescent="0.45">
      <c r="B56" s="21" t="s">
        <v>49</v>
      </c>
    </row>
    <row r="57" spans="2:2" ht="15" customHeight="1" x14ac:dyDescent="0.45">
      <c r="B57" s="20" t="s">
        <v>50</v>
      </c>
    </row>
    <row r="58" spans="2:2" ht="24" customHeight="1" x14ac:dyDescent="0.45">
      <c r="B58" s="21" t="s">
        <v>51</v>
      </c>
    </row>
    <row r="59" spans="2:2" ht="15" customHeight="1" x14ac:dyDescent="0.45">
      <c r="B59" s="20" t="s">
        <v>52</v>
      </c>
    </row>
    <row r="60" spans="2:2" ht="24" customHeight="1" x14ac:dyDescent="0.45">
      <c r="B60" s="21" t="s">
        <v>53</v>
      </c>
    </row>
    <row r="61" spans="2:2" ht="15" customHeight="1" x14ac:dyDescent="0.45">
      <c r="B61" s="20" t="s">
        <v>54</v>
      </c>
    </row>
    <row r="62" spans="2:2" ht="24" customHeight="1" x14ac:dyDescent="0.45">
      <c r="B62" s="21" t="s">
        <v>55</v>
      </c>
    </row>
    <row r="63" spans="2:2" ht="15" customHeight="1" x14ac:dyDescent="0.45">
      <c r="B63" s="20" t="s">
        <v>56</v>
      </c>
    </row>
    <row r="64" spans="2:2" ht="24" customHeight="1" x14ac:dyDescent="0.45">
      <c r="B64" s="21" t="s">
        <v>57</v>
      </c>
    </row>
    <row r="65" spans="2:2" ht="15" customHeight="1" x14ac:dyDescent="0.45">
      <c r="B65" s="20" t="s">
        <v>58</v>
      </c>
    </row>
    <row r="66" spans="2:2" ht="24" customHeight="1" x14ac:dyDescent="0.45">
      <c r="B66" s="21" t="s">
        <v>59</v>
      </c>
    </row>
    <row r="67" spans="2:2" ht="15" customHeight="1" x14ac:dyDescent="0.45">
      <c r="B67" s="20" t="s">
        <v>60</v>
      </c>
    </row>
    <row r="68" spans="2:2" ht="24" customHeight="1" x14ac:dyDescent="0.45">
      <c r="B68" s="21" t="s">
        <v>61</v>
      </c>
    </row>
    <row r="70" spans="2:2" ht="24" customHeight="1" x14ac:dyDescent="0.45">
      <c r="B70" s="18" t="s">
        <v>62</v>
      </c>
    </row>
    <row r="71" spans="2:2" ht="19.5" customHeight="1" x14ac:dyDescent="0.45">
      <c r="B71" s="23" t="s">
        <v>63</v>
      </c>
    </row>
    <row r="73" spans="2:2" ht="24" customHeight="1" x14ac:dyDescent="0.45">
      <c r="B73" s="24" t="s">
        <v>64</v>
      </c>
    </row>
    <row r="74" spans="2:2" ht="72" customHeight="1" x14ac:dyDescent="0.45">
      <c r="B74" s="25" t="s">
        <v>65</v>
      </c>
    </row>
    <row r="76" spans="2:2" ht="24" customHeight="1" x14ac:dyDescent="0.45">
      <c r="B76" s="18" t="s">
        <v>66</v>
      </c>
    </row>
    <row r="77" spans="2:2" ht="43.5" customHeight="1" x14ac:dyDescent="0.45">
      <c r="B77" s="26" t="s">
        <v>67</v>
      </c>
    </row>
    <row r="78" spans="2:2" ht="43.5" customHeight="1" x14ac:dyDescent="0.45">
      <c r="B78" s="26" t="s">
        <v>68</v>
      </c>
    </row>
    <row r="79" spans="2:2" ht="18" customHeight="1" x14ac:dyDescent="0.45">
      <c r="B79" s="27" t="s">
        <v>69</v>
      </c>
    </row>
  </sheetData>
  <mergeCells count="2">
    <mergeCell ref="B2:B3"/>
    <mergeCell ref="B4:B5"/>
  </mergeCells>
  <printOptions horizontalCentered="1"/>
  <pageMargins left="0.75" right="0.75" top="1" bottom="1" header="0.511811023622047" footer="0.511811023622047"/>
  <pageSetup fitToHeight="0"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8641C"/>
    <pageSetUpPr fitToPage="1"/>
  </sheetPr>
  <dimension ref="A1:K265"/>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ColWidth="8.6640625" defaultRowHeight="14.25" x14ac:dyDescent="0.45"/>
  <cols>
    <col min="1" max="1" width="9" customWidth="1"/>
    <col min="2" max="2" width="25" customWidth="1"/>
    <col min="3" max="3" width="54" customWidth="1"/>
    <col min="4" max="4" width="8" customWidth="1"/>
    <col min="5" max="5" width="14" customWidth="1"/>
    <col min="6" max="6" width="20" customWidth="1"/>
    <col min="7" max="7" width="13" customWidth="1"/>
    <col min="8" max="8" width="10" customWidth="1"/>
    <col min="9" max="9" width="28" customWidth="1"/>
    <col min="10" max="11" width="10" hidden="1" customWidth="1"/>
  </cols>
  <sheetData>
    <row r="1" spans="1:11" ht="30" customHeight="1" x14ac:dyDescent="0.45">
      <c r="A1" s="122" t="s">
        <v>814</v>
      </c>
      <c r="B1" s="122"/>
      <c r="C1" s="122"/>
      <c r="D1" s="122"/>
      <c r="E1" s="122"/>
      <c r="F1" s="122"/>
      <c r="G1" s="122"/>
      <c r="H1" s="122"/>
      <c r="I1" s="122"/>
    </row>
    <row r="2" spans="1:11" ht="18" customHeight="1" x14ac:dyDescent="0.45">
      <c r="A2" s="123" t="s">
        <v>815</v>
      </c>
      <c r="B2" s="123"/>
      <c r="C2" s="123"/>
      <c r="D2" s="123"/>
      <c r="E2" s="123"/>
      <c r="F2" s="123"/>
      <c r="G2" s="123"/>
      <c r="H2" s="123"/>
      <c r="I2" s="123"/>
    </row>
    <row r="3" spans="1:11" ht="21.75" customHeight="1" x14ac:dyDescent="0.45">
      <c r="A3" s="124" t="s">
        <v>816</v>
      </c>
      <c r="B3" s="124"/>
      <c r="C3" s="124"/>
      <c r="D3" s="124"/>
      <c r="E3" s="124"/>
      <c r="F3" s="124"/>
      <c r="G3" s="124"/>
      <c r="H3" s="124"/>
      <c r="I3" s="124"/>
    </row>
    <row r="5" spans="1:11" ht="30" customHeight="1" x14ac:dyDescent="0.45">
      <c r="A5" s="32" t="s">
        <v>817</v>
      </c>
      <c r="B5" s="32" t="s">
        <v>818</v>
      </c>
      <c r="C5" s="32" t="s">
        <v>819</v>
      </c>
      <c r="D5" s="32" t="s">
        <v>349</v>
      </c>
      <c r="E5" s="32" t="s">
        <v>580</v>
      </c>
      <c r="F5" s="32" t="s">
        <v>648</v>
      </c>
      <c r="G5" s="32" t="s">
        <v>820</v>
      </c>
      <c r="H5" s="32" t="s">
        <v>821</v>
      </c>
      <c r="I5" s="32" t="s">
        <v>822</v>
      </c>
      <c r="J5" s="32" t="s">
        <v>823</v>
      </c>
      <c r="K5" s="32" t="s">
        <v>824</v>
      </c>
    </row>
    <row r="6" spans="1:11" ht="23.25" x14ac:dyDescent="0.45">
      <c r="A6" s="61" t="s">
        <v>825</v>
      </c>
      <c r="B6" s="48" t="s">
        <v>98</v>
      </c>
      <c r="C6" s="55" t="s">
        <v>826</v>
      </c>
      <c r="D6" s="62" t="s">
        <v>358</v>
      </c>
      <c r="E6" s="63" t="s">
        <v>827</v>
      </c>
      <c r="F6" s="63"/>
      <c r="G6" s="64"/>
      <c r="H6" s="47" t="str">
        <f t="shared" ref="H6:H69" ca="1" si="0">IF($G6="","",IF($E6="Complete","done",$G6-TODAY()))</f>
        <v/>
      </c>
      <c r="I6" s="63"/>
      <c r="J6" s="65">
        <f>IF(AND($D6="P1",$E6&lt;&gt;"Complete",$E6&lt;&gt;"N/A"),COUNTIFS($D$6:$D6,"P1",$E$6:$E6,"&lt;&gt;Complete",$E$6:$E6,"&lt;&gt;N/A"),"")</f>
        <v>1</v>
      </c>
      <c r="K6" s="65" t="str">
        <f>IF(AND($F6&lt;&gt;"",$F6='10. Owner View'!$C$4,$E6&lt;&gt;"Complete",$E6&lt;&gt;"N/A"),COUNTIFS($F$6:$F6,'10. Owner View'!$C$4,$E$6:$E6,"&lt;&gt;Complete",$E$6:$E6,"&lt;&gt;N/A"),"")</f>
        <v/>
      </c>
    </row>
    <row r="7" spans="1:11" x14ac:dyDescent="0.45">
      <c r="A7" s="61" t="s">
        <v>828</v>
      </c>
      <c r="B7" s="48" t="s">
        <v>98</v>
      </c>
      <c r="C7" s="55" t="s">
        <v>829</v>
      </c>
      <c r="D7" s="62" t="s">
        <v>358</v>
      </c>
      <c r="E7" s="63" t="s">
        <v>827</v>
      </c>
      <c r="F7" s="63"/>
      <c r="G7" s="64"/>
      <c r="H7" s="47" t="str">
        <f t="shared" ca="1" si="0"/>
        <v/>
      </c>
      <c r="I7" s="63"/>
      <c r="J7" s="65">
        <f>IF(AND($D7="P1",$E7&lt;&gt;"Complete",$E7&lt;&gt;"N/A"),COUNTIFS($D$6:$D7,"P1",$E$6:$E7,"&lt;&gt;Complete",$E$6:$E7,"&lt;&gt;N/A"),"")</f>
        <v>2</v>
      </c>
      <c r="K7" s="65" t="str">
        <f>IF(AND($F7&lt;&gt;"",$F7='10. Owner View'!$C$4,$E7&lt;&gt;"Complete",$E7&lt;&gt;"N/A"),COUNTIFS($F$6:$F7,'10. Owner View'!$C$4,$E$6:$E7,"&lt;&gt;Complete",$E$6:$E7,"&lt;&gt;N/A"),"")</f>
        <v/>
      </c>
    </row>
    <row r="8" spans="1:11" x14ac:dyDescent="0.45">
      <c r="A8" s="61" t="s">
        <v>830</v>
      </c>
      <c r="B8" s="48" t="s">
        <v>98</v>
      </c>
      <c r="C8" s="55" t="s">
        <v>831</v>
      </c>
      <c r="D8" s="62" t="s">
        <v>358</v>
      </c>
      <c r="E8" s="63" t="s">
        <v>827</v>
      </c>
      <c r="F8" s="63"/>
      <c r="G8" s="64"/>
      <c r="H8" s="47" t="str">
        <f t="shared" ca="1" si="0"/>
        <v/>
      </c>
      <c r="I8" s="63"/>
      <c r="J8" s="65">
        <f>IF(AND($D8="P1",$E8&lt;&gt;"Complete",$E8&lt;&gt;"N/A"),COUNTIFS($D$6:$D8,"P1",$E$6:$E8,"&lt;&gt;Complete",$E$6:$E8,"&lt;&gt;N/A"),"")</f>
        <v>3</v>
      </c>
      <c r="K8" s="65" t="str">
        <f>IF(AND($F8&lt;&gt;"",$F8='10. Owner View'!$C$4,$E8&lt;&gt;"Complete",$E8&lt;&gt;"N/A"),COUNTIFS($F$6:$F8,'10. Owner View'!$C$4,$E$6:$E8,"&lt;&gt;Complete",$E$6:$E8,"&lt;&gt;N/A"),"")</f>
        <v/>
      </c>
    </row>
    <row r="9" spans="1:11" x14ac:dyDescent="0.45">
      <c r="A9" s="61" t="s">
        <v>832</v>
      </c>
      <c r="B9" s="48" t="s">
        <v>98</v>
      </c>
      <c r="C9" s="55" t="s">
        <v>833</v>
      </c>
      <c r="D9" s="62" t="s">
        <v>358</v>
      </c>
      <c r="E9" s="63" t="s">
        <v>827</v>
      </c>
      <c r="F9" s="63"/>
      <c r="G9" s="64"/>
      <c r="H9" s="47" t="str">
        <f t="shared" ca="1" si="0"/>
        <v/>
      </c>
      <c r="I9" s="63"/>
      <c r="J9" s="65">
        <f>IF(AND($D9="P1",$E9&lt;&gt;"Complete",$E9&lt;&gt;"N/A"),COUNTIFS($D$6:$D9,"P1",$E$6:$E9,"&lt;&gt;Complete",$E$6:$E9,"&lt;&gt;N/A"),"")</f>
        <v>4</v>
      </c>
      <c r="K9" s="65" t="str">
        <f>IF(AND($F9&lt;&gt;"",$F9='10. Owner View'!$C$4,$E9&lt;&gt;"Complete",$E9&lt;&gt;"N/A"),COUNTIFS($F$6:$F9,'10. Owner View'!$C$4,$E$6:$E9,"&lt;&gt;Complete",$E$6:$E9,"&lt;&gt;N/A"),"")</f>
        <v/>
      </c>
    </row>
    <row r="10" spans="1:11" x14ac:dyDescent="0.45">
      <c r="A10" s="61" t="s">
        <v>834</v>
      </c>
      <c r="B10" s="48" t="s">
        <v>98</v>
      </c>
      <c r="C10" s="55" t="s">
        <v>835</v>
      </c>
      <c r="D10" s="62" t="s">
        <v>358</v>
      </c>
      <c r="E10" s="63" t="s">
        <v>827</v>
      </c>
      <c r="F10" s="63"/>
      <c r="G10" s="64"/>
      <c r="H10" s="47" t="str">
        <f t="shared" ca="1" si="0"/>
        <v/>
      </c>
      <c r="I10" s="63"/>
      <c r="J10" s="65">
        <f>IF(AND($D10="P1",$E10&lt;&gt;"Complete",$E10&lt;&gt;"N/A"),COUNTIFS($D$6:$D10,"P1",$E$6:$E10,"&lt;&gt;Complete",$E$6:$E10,"&lt;&gt;N/A"),"")</f>
        <v>5</v>
      </c>
      <c r="K10" s="65" t="str">
        <f>IF(AND($F10&lt;&gt;"",$F10='10. Owner View'!$C$4,$E10&lt;&gt;"Complete",$E10&lt;&gt;"N/A"),COUNTIFS($F$6:$F10,'10. Owner View'!$C$4,$E$6:$E10,"&lt;&gt;Complete",$E$6:$E10,"&lt;&gt;N/A"),"")</f>
        <v/>
      </c>
    </row>
    <row r="11" spans="1:11" x14ac:dyDescent="0.45">
      <c r="A11" s="61" t="s">
        <v>836</v>
      </c>
      <c r="B11" s="48" t="s">
        <v>98</v>
      </c>
      <c r="C11" s="55" t="s">
        <v>837</v>
      </c>
      <c r="D11" s="62" t="s">
        <v>358</v>
      </c>
      <c r="E11" s="63" t="s">
        <v>827</v>
      </c>
      <c r="F11" s="63"/>
      <c r="G11" s="64"/>
      <c r="H11" s="47" t="str">
        <f t="shared" ca="1" si="0"/>
        <v/>
      </c>
      <c r="I11" s="63"/>
      <c r="J11" s="65">
        <f>IF(AND($D11="P1",$E11&lt;&gt;"Complete",$E11&lt;&gt;"N/A"),COUNTIFS($D$6:$D11,"P1",$E$6:$E11,"&lt;&gt;Complete",$E$6:$E11,"&lt;&gt;N/A"),"")</f>
        <v>6</v>
      </c>
      <c r="K11" s="65" t="str">
        <f>IF(AND($F11&lt;&gt;"",$F11='10. Owner View'!$C$4,$E11&lt;&gt;"Complete",$E11&lt;&gt;"N/A"),COUNTIFS($F$6:$F11,'10. Owner View'!$C$4,$E$6:$E11,"&lt;&gt;Complete",$E$6:$E11,"&lt;&gt;N/A"),"")</f>
        <v/>
      </c>
    </row>
    <row r="12" spans="1:11" x14ac:dyDescent="0.45">
      <c r="A12" s="61" t="s">
        <v>838</v>
      </c>
      <c r="B12" s="48" t="s">
        <v>98</v>
      </c>
      <c r="C12" s="55" t="s">
        <v>839</v>
      </c>
      <c r="D12" s="62" t="s">
        <v>402</v>
      </c>
      <c r="E12" s="63" t="s">
        <v>827</v>
      </c>
      <c r="F12" s="63"/>
      <c r="G12" s="64"/>
      <c r="H12" s="47" t="str">
        <f t="shared" ca="1" si="0"/>
        <v/>
      </c>
      <c r="I12" s="63"/>
      <c r="J12" s="65" t="str">
        <f>IF(AND($D12="P1",$E12&lt;&gt;"Complete",$E12&lt;&gt;"N/A"),COUNTIFS($D$6:$D12,"P1",$E$6:$E12,"&lt;&gt;Complete",$E$6:$E12,"&lt;&gt;N/A"),"")</f>
        <v/>
      </c>
      <c r="K12" s="65" t="str">
        <f>IF(AND($F12&lt;&gt;"",$F12='10. Owner View'!$C$4,$E12&lt;&gt;"Complete",$E12&lt;&gt;"N/A"),COUNTIFS($F$6:$F12,'10. Owner View'!$C$4,$E$6:$E12,"&lt;&gt;Complete",$E$6:$E12,"&lt;&gt;N/A"),"")</f>
        <v/>
      </c>
    </row>
    <row r="13" spans="1:11" x14ac:dyDescent="0.45">
      <c r="A13" s="61" t="s">
        <v>840</v>
      </c>
      <c r="B13" s="48" t="s">
        <v>98</v>
      </c>
      <c r="C13" s="55" t="s">
        <v>841</v>
      </c>
      <c r="D13" s="62" t="s">
        <v>358</v>
      </c>
      <c r="E13" s="63" t="s">
        <v>827</v>
      </c>
      <c r="F13" s="63"/>
      <c r="G13" s="64"/>
      <c r="H13" s="47" t="str">
        <f t="shared" ca="1" si="0"/>
        <v/>
      </c>
      <c r="I13" s="63"/>
      <c r="J13" s="65">
        <f>IF(AND($D13="P1",$E13&lt;&gt;"Complete",$E13&lt;&gt;"N/A"),COUNTIFS($D$6:$D13,"P1",$E$6:$E13,"&lt;&gt;Complete",$E$6:$E13,"&lt;&gt;N/A"),"")</f>
        <v>7</v>
      </c>
      <c r="K13" s="65" t="str">
        <f>IF(AND($F13&lt;&gt;"",$F13='10. Owner View'!$C$4,$E13&lt;&gt;"Complete",$E13&lt;&gt;"N/A"),COUNTIFS($F$6:$F13,'10. Owner View'!$C$4,$E$6:$E13,"&lt;&gt;Complete",$E$6:$E13,"&lt;&gt;N/A"),"")</f>
        <v/>
      </c>
    </row>
    <row r="14" spans="1:11" x14ac:dyDescent="0.45">
      <c r="A14" s="61" t="s">
        <v>842</v>
      </c>
      <c r="B14" s="48" t="s">
        <v>98</v>
      </c>
      <c r="C14" s="55" t="s">
        <v>843</v>
      </c>
      <c r="D14" s="62" t="s">
        <v>358</v>
      </c>
      <c r="E14" s="63" t="s">
        <v>827</v>
      </c>
      <c r="F14" s="63"/>
      <c r="G14" s="64"/>
      <c r="H14" s="47" t="str">
        <f t="shared" ca="1" si="0"/>
        <v/>
      </c>
      <c r="I14" s="63"/>
      <c r="J14" s="65">
        <f>IF(AND($D14="P1",$E14&lt;&gt;"Complete",$E14&lt;&gt;"N/A"),COUNTIFS($D$6:$D14,"P1",$E$6:$E14,"&lt;&gt;Complete",$E$6:$E14,"&lt;&gt;N/A"),"")</f>
        <v>8</v>
      </c>
      <c r="K14" s="65" t="str">
        <f>IF(AND($F14&lt;&gt;"",$F14='10. Owner View'!$C$4,$E14&lt;&gt;"Complete",$E14&lt;&gt;"N/A"),COUNTIFS($F$6:$F14,'10. Owner View'!$C$4,$E$6:$E14,"&lt;&gt;Complete",$E$6:$E14,"&lt;&gt;N/A"),"")</f>
        <v/>
      </c>
    </row>
    <row r="15" spans="1:11" x14ac:dyDescent="0.45">
      <c r="A15" s="61" t="s">
        <v>844</v>
      </c>
      <c r="B15" s="48" t="s">
        <v>98</v>
      </c>
      <c r="C15" s="55" t="s">
        <v>845</v>
      </c>
      <c r="D15" s="62" t="s">
        <v>402</v>
      </c>
      <c r="E15" s="63" t="s">
        <v>827</v>
      </c>
      <c r="F15" s="63"/>
      <c r="G15" s="64"/>
      <c r="H15" s="47" t="str">
        <f t="shared" ca="1" si="0"/>
        <v/>
      </c>
      <c r="I15" s="63"/>
      <c r="J15" s="65" t="str">
        <f>IF(AND($D15="P1",$E15&lt;&gt;"Complete",$E15&lt;&gt;"N/A"),COUNTIFS($D$6:$D15,"P1",$E$6:$E15,"&lt;&gt;Complete",$E$6:$E15,"&lt;&gt;N/A"),"")</f>
        <v/>
      </c>
      <c r="K15" s="65" t="str">
        <f>IF(AND($F15&lt;&gt;"",$F15='10. Owner View'!$C$4,$E15&lt;&gt;"Complete",$E15&lt;&gt;"N/A"),COUNTIFS($F$6:$F15,'10. Owner View'!$C$4,$E$6:$E15,"&lt;&gt;Complete",$E$6:$E15,"&lt;&gt;N/A"),"")</f>
        <v/>
      </c>
    </row>
    <row r="16" spans="1:11" x14ac:dyDescent="0.45">
      <c r="A16" s="61" t="s">
        <v>846</v>
      </c>
      <c r="B16" s="48" t="s">
        <v>98</v>
      </c>
      <c r="C16" s="55" t="s">
        <v>847</v>
      </c>
      <c r="D16" s="62" t="s">
        <v>402</v>
      </c>
      <c r="E16" s="63" t="s">
        <v>827</v>
      </c>
      <c r="F16" s="63"/>
      <c r="G16" s="64"/>
      <c r="H16" s="47" t="str">
        <f t="shared" ca="1" si="0"/>
        <v/>
      </c>
      <c r="I16" s="63"/>
      <c r="J16" s="65" t="str">
        <f>IF(AND($D16="P1",$E16&lt;&gt;"Complete",$E16&lt;&gt;"N/A"),COUNTIFS($D$6:$D16,"P1",$E$6:$E16,"&lt;&gt;Complete",$E$6:$E16,"&lt;&gt;N/A"),"")</f>
        <v/>
      </c>
      <c r="K16" s="65" t="str">
        <f>IF(AND($F16&lt;&gt;"",$F16='10. Owner View'!$C$4,$E16&lt;&gt;"Complete",$E16&lt;&gt;"N/A"),COUNTIFS($F$6:$F16,'10. Owner View'!$C$4,$E$6:$E16,"&lt;&gt;Complete",$E$6:$E16,"&lt;&gt;N/A"),"")</f>
        <v/>
      </c>
    </row>
    <row r="17" spans="1:11" x14ac:dyDescent="0.45">
      <c r="A17" s="61" t="s">
        <v>848</v>
      </c>
      <c r="B17" s="48" t="s">
        <v>98</v>
      </c>
      <c r="C17" s="55" t="s">
        <v>849</v>
      </c>
      <c r="D17" s="62" t="s">
        <v>402</v>
      </c>
      <c r="E17" s="63" t="s">
        <v>827</v>
      </c>
      <c r="F17" s="63"/>
      <c r="G17" s="64"/>
      <c r="H17" s="47" t="str">
        <f t="shared" ca="1" si="0"/>
        <v/>
      </c>
      <c r="I17" s="63"/>
      <c r="J17" s="65" t="str">
        <f>IF(AND($D17="P1",$E17&lt;&gt;"Complete",$E17&lt;&gt;"N/A"),COUNTIFS($D$6:$D17,"P1",$E$6:$E17,"&lt;&gt;Complete",$E$6:$E17,"&lt;&gt;N/A"),"")</f>
        <v/>
      </c>
      <c r="K17" s="65" t="str">
        <f>IF(AND($F17&lt;&gt;"",$F17='10. Owner View'!$C$4,$E17&lt;&gt;"Complete",$E17&lt;&gt;"N/A"),COUNTIFS($F$6:$F17,'10. Owner View'!$C$4,$E$6:$E17,"&lt;&gt;Complete",$E$6:$E17,"&lt;&gt;N/A"),"")</f>
        <v/>
      </c>
    </row>
    <row r="18" spans="1:11" x14ac:dyDescent="0.45">
      <c r="A18" s="61" t="s">
        <v>850</v>
      </c>
      <c r="B18" s="48" t="s">
        <v>98</v>
      </c>
      <c r="C18" s="55" t="s">
        <v>851</v>
      </c>
      <c r="D18" s="62" t="s">
        <v>402</v>
      </c>
      <c r="E18" s="63" t="s">
        <v>827</v>
      </c>
      <c r="F18" s="63"/>
      <c r="G18" s="64"/>
      <c r="H18" s="47" t="str">
        <f t="shared" ca="1" si="0"/>
        <v/>
      </c>
      <c r="I18" s="63"/>
      <c r="J18" s="65" t="str">
        <f>IF(AND($D18="P1",$E18&lt;&gt;"Complete",$E18&lt;&gt;"N/A"),COUNTIFS($D$6:$D18,"P1",$E$6:$E18,"&lt;&gt;Complete",$E$6:$E18,"&lt;&gt;N/A"),"")</f>
        <v/>
      </c>
      <c r="K18" s="65" t="str">
        <f>IF(AND($F18&lt;&gt;"",$F18='10. Owner View'!$C$4,$E18&lt;&gt;"Complete",$E18&lt;&gt;"N/A"),COUNTIFS($F$6:$F18,'10. Owner View'!$C$4,$E$6:$E18,"&lt;&gt;Complete",$E$6:$E18,"&lt;&gt;N/A"),"")</f>
        <v/>
      </c>
    </row>
    <row r="19" spans="1:11" x14ac:dyDescent="0.45">
      <c r="A19" s="61" t="s">
        <v>852</v>
      </c>
      <c r="B19" s="48" t="s">
        <v>98</v>
      </c>
      <c r="C19" s="55" t="s">
        <v>853</v>
      </c>
      <c r="D19" s="62" t="s">
        <v>468</v>
      </c>
      <c r="E19" s="63" t="s">
        <v>827</v>
      </c>
      <c r="F19" s="63"/>
      <c r="G19" s="64"/>
      <c r="H19" s="47" t="str">
        <f t="shared" ca="1" si="0"/>
        <v/>
      </c>
      <c r="I19" s="63"/>
      <c r="J19" s="65" t="str">
        <f>IF(AND($D19="P1",$E19&lt;&gt;"Complete",$E19&lt;&gt;"N/A"),COUNTIFS($D$6:$D19,"P1",$E$6:$E19,"&lt;&gt;Complete",$E$6:$E19,"&lt;&gt;N/A"),"")</f>
        <v/>
      </c>
      <c r="K19" s="65" t="str">
        <f>IF(AND($F19&lt;&gt;"",$F19='10. Owner View'!$C$4,$E19&lt;&gt;"Complete",$E19&lt;&gt;"N/A"),COUNTIFS($F$6:$F19,'10. Owner View'!$C$4,$E$6:$E19,"&lt;&gt;Complete",$E$6:$E19,"&lt;&gt;N/A"),"")</f>
        <v/>
      </c>
    </row>
    <row r="20" spans="1:11" x14ac:dyDescent="0.45">
      <c r="A20" s="61" t="s">
        <v>854</v>
      </c>
      <c r="B20" s="48" t="s">
        <v>98</v>
      </c>
      <c r="C20" s="55" t="s">
        <v>855</v>
      </c>
      <c r="D20" s="62" t="s">
        <v>402</v>
      </c>
      <c r="E20" s="63" t="s">
        <v>827</v>
      </c>
      <c r="F20" s="63"/>
      <c r="G20" s="64"/>
      <c r="H20" s="47" t="str">
        <f t="shared" ca="1" si="0"/>
        <v/>
      </c>
      <c r="I20" s="63"/>
      <c r="J20" s="65" t="str">
        <f>IF(AND($D20="P1",$E20&lt;&gt;"Complete",$E20&lt;&gt;"N/A"),COUNTIFS($D$6:$D20,"P1",$E$6:$E20,"&lt;&gt;Complete",$E$6:$E20,"&lt;&gt;N/A"),"")</f>
        <v/>
      </c>
      <c r="K20" s="65" t="str">
        <f>IF(AND($F20&lt;&gt;"",$F20='10. Owner View'!$C$4,$E20&lt;&gt;"Complete",$E20&lt;&gt;"N/A"),COUNTIFS($F$6:$F20,'10. Owner View'!$C$4,$E$6:$E20,"&lt;&gt;Complete",$E$6:$E20,"&lt;&gt;N/A"),"")</f>
        <v/>
      </c>
    </row>
    <row r="21" spans="1:11" x14ac:dyDescent="0.45">
      <c r="A21" s="61" t="s">
        <v>856</v>
      </c>
      <c r="B21" s="48" t="s">
        <v>98</v>
      </c>
      <c r="C21" s="55" t="s">
        <v>857</v>
      </c>
      <c r="D21" s="62" t="s">
        <v>358</v>
      </c>
      <c r="E21" s="63" t="s">
        <v>827</v>
      </c>
      <c r="F21" s="63"/>
      <c r="G21" s="64"/>
      <c r="H21" s="47" t="str">
        <f t="shared" ca="1" si="0"/>
        <v/>
      </c>
      <c r="I21" s="63"/>
      <c r="J21" s="65">
        <f>IF(AND($D21="P1",$E21&lt;&gt;"Complete",$E21&lt;&gt;"N/A"),COUNTIFS($D$6:$D21,"P1",$E$6:$E21,"&lt;&gt;Complete",$E$6:$E21,"&lt;&gt;N/A"),"")</f>
        <v>9</v>
      </c>
      <c r="K21" s="65" t="str">
        <f>IF(AND($F21&lt;&gt;"",$F21='10. Owner View'!$C$4,$E21&lt;&gt;"Complete",$E21&lt;&gt;"N/A"),COUNTIFS($F$6:$F21,'10. Owner View'!$C$4,$E$6:$E21,"&lt;&gt;Complete",$E$6:$E21,"&lt;&gt;N/A"),"")</f>
        <v/>
      </c>
    </row>
    <row r="22" spans="1:11" x14ac:dyDescent="0.45">
      <c r="A22" s="61" t="s">
        <v>858</v>
      </c>
      <c r="B22" s="48" t="s">
        <v>98</v>
      </c>
      <c r="C22" s="55" t="s">
        <v>859</v>
      </c>
      <c r="D22" s="62" t="s">
        <v>402</v>
      </c>
      <c r="E22" s="63" t="s">
        <v>827</v>
      </c>
      <c r="F22" s="63"/>
      <c r="G22" s="64"/>
      <c r="H22" s="47" t="str">
        <f t="shared" ca="1" si="0"/>
        <v/>
      </c>
      <c r="I22" s="63"/>
      <c r="J22" s="65" t="str">
        <f>IF(AND($D22="P1",$E22&lt;&gt;"Complete",$E22&lt;&gt;"N/A"),COUNTIFS($D$6:$D22,"P1",$E$6:$E22,"&lt;&gt;Complete",$E$6:$E22,"&lt;&gt;N/A"),"")</f>
        <v/>
      </c>
      <c r="K22" s="65" t="str">
        <f>IF(AND($F22&lt;&gt;"",$F22='10. Owner View'!$C$4,$E22&lt;&gt;"Complete",$E22&lt;&gt;"N/A"),COUNTIFS($F$6:$F22,'10. Owner View'!$C$4,$E$6:$E22,"&lt;&gt;Complete",$E$6:$E22,"&lt;&gt;N/A"),"")</f>
        <v/>
      </c>
    </row>
    <row r="23" spans="1:11" x14ac:dyDescent="0.45">
      <c r="A23" s="61" t="s">
        <v>860</v>
      </c>
      <c r="B23" s="48" t="s">
        <v>98</v>
      </c>
      <c r="C23" s="55" t="s">
        <v>861</v>
      </c>
      <c r="D23" s="62" t="s">
        <v>402</v>
      </c>
      <c r="E23" s="63" t="s">
        <v>827</v>
      </c>
      <c r="F23" s="63"/>
      <c r="G23" s="64"/>
      <c r="H23" s="47" t="str">
        <f t="shared" ca="1" si="0"/>
        <v/>
      </c>
      <c r="I23" s="63"/>
      <c r="J23" s="65" t="str">
        <f>IF(AND($D23="P1",$E23&lt;&gt;"Complete",$E23&lt;&gt;"N/A"),COUNTIFS($D$6:$D23,"P1",$E$6:$E23,"&lt;&gt;Complete",$E$6:$E23,"&lt;&gt;N/A"),"")</f>
        <v/>
      </c>
      <c r="K23" s="65" t="str">
        <f>IF(AND($F23&lt;&gt;"",$F23='10. Owner View'!$C$4,$E23&lt;&gt;"Complete",$E23&lt;&gt;"N/A"),COUNTIFS($F$6:$F23,'10. Owner View'!$C$4,$E$6:$E23,"&lt;&gt;Complete",$E$6:$E23,"&lt;&gt;N/A"),"")</f>
        <v/>
      </c>
    </row>
    <row r="24" spans="1:11" x14ac:dyDescent="0.45">
      <c r="A24" s="61" t="s">
        <v>862</v>
      </c>
      <c r="B24" s="48" t="s">
        <v>98</v>
      </c>
      <c r="C24" s="55" t="s">
        <v>863</v>
      </c>
      <c r="D24" s="62" t="s">
        <v>402</v>
      </c>
      <c r="E24" s="63" t="s">
        <v>827</v>
      </c>
      <c r="F24" s="63"/>
      <c r="G24" s="64"/>
      <c r="H24" s="47" t="str">
        <f t="shared" ca="1" si="0"/>
        <v/>
      </c>
      <c r="I24" s="63"/>
      <c r="J24" s="65" t="str">
        <f>IF(AND($D24="P1",$E24&lt;&gt;"Complete",$E24&lt;&gt;"N/A"),COUNTIFS($D$6:$D24,"P1",$E$6:$E24,"&lt;&gt;Complete",$E$6:$E24,"&lt;&gt;N/A"),"")</f>
        <v/>
      </c>
      <c r="K24" s="65" t="str">
        <f>IF(AND($F24&lt;&gt;"",$F24='10. Owner View'!$C$4,$E24&lt;&gt;"Complete",$E24&lt;&gt;"N/A"),COUNTIFS($F$6:$F24,'10. Owner View'!$C$4,$E$6:$E24,"&lt;&gt;Complete",$E$6:$E24,"&lt;&gt;N/A"),"")</f>
        <v/>
      </c>
    </row>
    <row r="25" spans="1:11" x14ac:dyDescent="0.45">
      <c r="A25" s="61" t="s">
        <v>864</v>
      </c>
      <c r="B25" s="48" t="s">
        <v>98</v>
      </c>
      <c r="C25" s="55" t="s">
        <v>865</v>
      </c>
      <c r="D25" s="62" t="s">
        <v>402</v>
      </c>
      <c r="E25" s="63" t="s">
        <v>827</v>
      </c>
      <c r="F25" s="63"/>
      <c r="G25" s="64"/>
      <c r="H25" s="47" t="str">
        <f t="shared" ca="1" si="0"/>
        <v/>
      </c>
      <c r="I25" s="63"/>
      <c r="J25" s="65" t="str">
        <f>IF(AND($D25="P1",$E25&lt;&gt;"Complete",$E25&lt;&gt;"N/A"),COUNTIFS($D$6:$D25,"P1",$E$6:$E25,"&lt;&gt;Complete",$E$6:$E25,"&lt;&gt;N/A"),"")</f>
        <v/>
      </c>
      <c r="K25" s="65" t="str">
        <f>IF(AND($F25&lt;&gt;"",$F25='10. Owner View'!$C$4,$E25&lt;&gt;"Complete",$E25&lt;&gt;"N/A"),COUNTIFS($F$6:$F25,'10. Owner View'!$C$4,$E$6:$E25,"&lt;&gt;Complete",$E$6:$E25,"&lt;&gt;N/A"),"")</f>
        <v/>
      </c>
    </row>
    <row r="26" spans="1:11" x14ac:dyDescent="0.45">
      <c r="A26" s="61" t="s">
        <v>866</v>
      </c>
      <c r="B26" s="48" t="s">
        <v>99</v>
      </c>
      <c r="C26" s="55" t="s">
        <v>867</v>
      </c>
      <c r="D26" s="62" t="s">
        <v>358</v>
      </c>
      <c r="E26" s="63" t="s">
        <v>827</v>
      </c>
      <c r="F26" s="63"/>
      <c r="G26" s="64"/>
      <c r="H26" s="47" t="str">
        <f t="shared" ca="1" si="0"/>
        <v/>
      </c>
      <c r="I26" s="63"/>
      <c r="J26" s="65">
        <f>IF(AND($D26="P1",$E26&lt;&gt;"Complete",$E26&lt;&gt;"N/A"),COUNTIFS($D$6:$D26,"P1",$E$6:$E26,"&lt;&gt;Complete",$E$6:$E26,"&lt;&gt;N/A"),"")</f>
        <v>10</v>
      </c>
      <c r="K26" s="65" t="str">
        <f>IF(AND($F26&lt;&gt;"",$F26='10. Owner View'!$C$4,$E26&lt;&gt;"Complete",$E26&lt;&gt;"N/A"),COUNTIFS($F$6:$F26,'10. Owner View'!$C$4,$E$6:$E26,"&lt;&gt;Complete",$E$6:$E26,"&lt;&gt;N/A"),"")</f>
        <v/>
      </c>
    </row>
    <row r="27" spans="1:11" x14ac:dyDescent="0.45">
      <c r="A27" s="61" t="s">
        <v>868</v>
      </c>
      <c r="B27" s="48" t="s">
        <v>99</v>
      </c>
      <c r="C27" s="55" t="s">
        <v>869</v>
      </c>
      <c r="D27" s="62" t="s">
        <v>358</v>
      </c>
      <c r="E27" s="63" t="s">
        <v>827</v>
      </c>
      <c r="F27" s="63"/>
      <c r="G27" s="64"/>
      <c r="H27" s="47" t="str">
        <f t="shared" ca="1" si="0"/>
        <v/>
      </c>
      <c r="I27" s="63"/>
      <c r="J27" s="65">
        <f>IF(AND($D27="P1",$E27&lt;&gt;"Complete",$E27&lt;&gt;"N/A"),COUNTIFS($D$6:$D27,"P1",$E$6:$E27,"&lt;&gt;Complete",$E$6:$E27,"&lt;&gt;N/A"),"")</f>
        <v>11</v>
      </c>
      <c r="K27" s="65" t="str">
        <f>IF(AND($F27&lt;&gt;"",$F27='10. Owner View'!$C$4,$E27&lt;&gt;"Complete",$E27&lt;&gt;"N/A"),COUNTIFS($F$6:$F27,'10. Owner View'!$C$4,$E$6:$E27,"&lt;&gt;Complete",$E$6:$E27,"&lt;&gt;N/A"),"")</f>
        <v/>
      </c>
    </row>
    <row r="28" spans="1:11" x14ac:dyDescent="0.45">
      <c r="A28" s="61" t="s">
        <v>870</v>
      </c>
      <c r="B28" s="48" t="s">
        <v>99</v>
      </c>
      <c r="C28" s="55" t="s">
        <v>871</v>
      </c>
      <c r="D28" s="62" t="s">
        <v>358</v>
      </c>
      <c r="E28" s="63" t="s">
        <v>827</v>
      </c>
      <c r="F28" s="63"/>
      <c r="G28" s="64"/>
      <c r="H28" s="47" t="str">
        <f t="shared" ca="1" si="0"/>
        <v/>
      </c>
      <c r="I28" s="63"/>
      <c r="J28" s="65">
        <f>IF(AND($D28="P1",$E28&lt;&gt;"Complete",$E28&lt;&gt;"N/A"),COUNTIFS($D$6:$D28,"P1",$E$6:$E28,"&lt;&gt;Complete",$E$6:$E28,"&lt;&gt;N/A"),"")</f>
        <v>12</v>
      </c>
      <c r="K28" s="65" t="str">
        <f>IF(AND($F28&lt;&gt;"",$F28='10. Owner View'!$C$4,$E28&lt;&gt;"Complete",$E28&lt;&gt;"N/A"),COUNTIFS($F$6:$F28,'10. Owner View'!$C$4,$E$6:$E28,"&lt;&gt;Complete",$E$6:$E28,"&lt;&gt;N/A"),"")</f>
        <v/>
      </c>
    </row>
    <row r="29" spans="1:11" x14ac:dyDescent="0.45">
      <c r="A29" s="61" t="s">
        <v>872</v>
      </c>
      <c r="B29" s="48" t="s">
        <v>99</v>
      </c>
      <c r="C29" s="55" t="s">
        <v>873</v>
      </c>
      <c r="D29" s="62" t="s">
        <v>358</v>
      </c>
      <c r="E29" s="63" t="s">
        <v>827</v>
      </c>
      <c r="F29" s="63"/>
      <c r="G29" s="64"/>
      <c r="H29" s="47" t="str">
        <f t="shared" ca="1" si="0"/>
        <v/>
      </c>
      <c r="I29" s="63"/>
      <c r="J29" s="65">
        <f>IF(AND($D29="P1",$E29&lt;&gt;"Complete",$E29&lt;&gt;"N/A"),COUNTIFS($D$6:$D29,"P1",$E$6:$E29,"&lt;&gt;Complete",$E$6:$E29,"&lt;&gt;N/A"),"")</f>
        <v>13</v>
      </c>
      <c r="K29" s="65" t="str">
        <f>IF(AND($F29&lt;&gt;"",$F29='10. Owner View'!$C$4,$E29&lt;&gt;"Complete",$E29&lt;&gt;"N/A"),COUNTIFS($F$6:$F29,'10. Owner View'!$C$4,$E$6:$E29,"&lt;&gt;Complete",$E$6:$E29,"&lt;&gt;N/A"),"")</f>
        <v/>
      </c>
    </row>
    <row r="30" spans="1:11" x14ac:dyDescent="0.45">
      <c r="A30" s="61" t="s">
        <v>874</v>
      </c>
      <c r="B30" s="48" t="s">
        <v>99</v>
      </c>
      <c r="C30" s="55" t="s">
        <v>875</v>
      </c>
      <c r="D30" s="62" t="s">
        <v>358</v>
      </c>
      <c r="E30" s="63" t="s">
        <v>827</v>
      </c>
      <c r="F30" s="63"/>
      <c r="G30" s="64"/>
      <c r="H30" s="47" t="str">
        <f t="shared" ca="1" si="0"/>
        <v/>
      </c>
      <c r="I30" s="63"/>
      <c r="J30" s="65">
        <f>IF(AND($D30="P1",$E30&lt;&gt;"Complete",$E30&lt;&gt;"N/A"),COUNTIFS($D$6:$D30,"P1",$E$6:$E30,"&lt;&gt;Complete",$E$6:$E30,"&lt;&gt;N/A"),"")</f>
        <v>14</v>
      </c>
      <c r="K30" s="65" t="str">
        <f>IF(AND($F30&lt;&gt;"",$F30='10. Owner View'!$C$4,$E30&lt;&gt;"Complete",$E30&lt;&gt;"N/A"),COUNTIFS($F$6:$F30,'10. Owner View'!$C$4,$E$6:$E30,"&lt;&gt;Complete",$E$6:$E30,"&lt;&gt;N/A"),"")</f>
        <v/>
      </c>
    </row>
    <row r="31" spans="1:11" x14ac:dyDescent="0.45">
      <c r="A31" s="61" t="s">
        <v>876</v>
      </c>
      <c r="B31" s="48" t="s">
        <v>99</v>
      </c>
      <c r="C31" s="55" t="s">
        <v>877</v>
      </c>
      <c r="D31" s="62" t="s">
        <v>358</v>
      </c>
      <c r="E31" s="63" t="s">
        <v>827</v>
      </c>
      <c r="F31" s="63"/>
      <c r="G31" s="64"/>
      <c r="H31" s="47" t="str">
        <f t="shared" ca="1" si="0"/>
        <v/>
      </c>
      <c r="I31" s="63"/>
      <c r="J31" s="65">
        <f>IF(AND($D31="P1",$E31&lt;&gt;"Complete",$E31&lt;&gt;"N/A"),COUNTIFS($D$6:$D31,"P1",$E$6:$E31,"&lt;&gt;Complete",$E$6:$E31,"&lt;&gt;N/A"),"")</f>
        <v>15</v>
      </c>
      <c r="K31" s="65" t="str">
        <f>IF(AND($F31&lt;&gt;"",$F31='10. Owner View'!$C$4,$E31&lt;&gt;"Complete",$E31&lt;&gt;"N/A"),COUNTIFS($F$6:$F31,'10. Owner View'!$C$4,$E$6:$E31,"&lt;&gt;Complete",$E$6:$E31,"&lt;&gt;N/A"),"")</f>
        <v/>
      </c>
    </row>
    <row r="32" spans="1:11" x14ac:dyDescent="0.45">
      <c r="A32" s="61" t="s">
        <v>878</v>
      </c>
      <c r="B32" s="48" t="s">
        <v>99</v>
      </c>
      <c r="C32" s="55" t="s">
        <v>879</v>
      </c>
      <c r="D32" s="62" t="s">
        <v>358</v>
      </c>
      <c r="E32" s="63" t="s">
        <v>827</v>
      </c>
      <c r="F32" s="63"/>
      <c r="G32" s="64"/>
      <c r="H32" s="47" t="str">
        <f t="shared" ca="1" si="0"/>
        <v/>
      </c>
      <c r="I32" s="63"/>
      <c r="J32" s="65">
        <f>IF(AND($D32="P1",$E32&lt;&gt;"Complete",$E32&lt;&gt;"N/A"),COUNTIFS($D$6:$D32,"P1",$E$6:$E32,"&lt;&gt;Complete",$E$6:$E32,"&lt;&gt;N/A"),"")</f>
        <v>16</v>
      </c>
      <c r="K32" s="65" t="str">
        <f>IF(AND($F32&lt;&gt;"",$F32='10. Owner View'!$C$4,$E32&lt;&gt;"Complete",$E32&lt;&gt;"N/A"),COUNTIFS($F$6:$F32,'10. Owner View'!$C$4,$E$6:$E32,"&lt;&gt;Complete",$E$6:$E32,"&lt;&gt;N/A"),"")</f>
        <v/>
      </c>
    </row>
    <row r="33" spans="1:11" x14ac:dyDescent="0.45">
      <c r="A33" s="61" t="s">
        <v>880</v>
      </c>
      <c r="B33" s="48" t="s">
        <v>99</v>
      </c>
      <c r="C33" s="55" t="s">
        <v>881</v>
      </c>
      <c r="D33" s="62" t="s">
        <v>402</v>
      </c>
      <c r="E33" s="63" t="s">
        <v>827</v>
      </c>
      <c r="F33" s="63"/>
      <c r="G33" s="64"/>
      <c r="H33" s="47" t="str">
        <f t="shared" ca="1" si="0"/>
        <v/>
      </c>
      <c r="I33" s="63"/>
      <c r="J33" s="65" t="str">
        <f>IF(AND($D33="P1",$E33&lt;&gt;"Complete",$E33&lt;&gt;"N/A"),COUNTIFS($D$6:$D33,"P1",$E$6:$E33,"&lt;&gt;Complete",$E$6:$E33,"&lt;&gt;N/A"),"")</f>
        <v/>
      </c>
      <c r="K33" s="65" t="str">
        <f>IF(AND($F33&lt;&gt;"",$F33='10. Owner View'!$C$4,$E33&lt;&gt;"Complete",$E33&lt;&gt;"N/A"),COUNTIFS($F$6:$F33,'10. Owner View'!$C$4,$E$6:$E33,"&lt;&gt;Complete",$E$6:$E33,"&lt;&gt;N/A"),"")</f>
        <v/>
      </c>
    </row>
    <row r="34" spans="1:11" x14ac:dyDescent="0.45">
      <c r="A34" s="61" t="s">
        <v>882</v>
      </c>
      <c r="B34" s="48" t="s">
        <v>99</v>
      </c>
      <c r="C34" s="55" t="s">
        <v>883</v>
      </c>
      <c r="D34" s="62" t="s">
        <v>402</v>
      </c>
      <c r="E34" s="63" t="s">
        <v>827</v>
      </c>
      <c r="F34" s="63"/>
      <c r="G34" s="64"/>
      <c r="H34" s="47" t="str">
        <f t="shared" ca="1" si="0"/>
        <v/>
      </c>
      <c r="I34" s="63"/>
      <c r="J34" s="65" t="str">
        <f>IF(AND($D34="P1",$E34&lt;&gt;"Complete",$E34&lt;&gt;"N/A"),COUNTIFS($D$6:$D34,"P1",$E$6:$E34,"&lt;&gt;Complete",$E$6:$E34,"&lt;&gt;N/A"),"")</f>
        <v/>
      </c>
      <c r="K34" s="65" t="str">
        <f>IF(AND($F34&lt;&gt;"",$F34='10. Owner View'!$C$4,$E34&lt;&gt;"Complete",$E34&lt;&gt;"N/A"),COUNTIFS($F$6:$F34,'10. Owner View'!$C$4,$E$6:$E34,"&lt;&gt;Complete",$E$6:$E34,"&lt;&gt;N/A"),"")</f>
        <v/>
      </c>
    </row>
    <row r="35" spans="1:11" x14ac:dyDescent="0.45">
      <c r="A35" s="61" t="s">
        <v>884</v>
      </c>
      <c r="B35" s="48" t="s">
        <v>99</v>
      </c>
      <c r="C35" s="55" t="s">
        <v>885</v>
      </c>
      <c r="D35" s="62" t="s">
        <v>358</v>
      </c>
      <c r="E35" s="63" t="s">
        <v>827</v>
      </c>
      <c r="F35" s="63"/>
      <c r="G35" s="64"/>
      <c r="H35" s="47" t="str">
        <f t="shared" ca="1" si="0"/>
        <v/>
      </c>
      <c r="I35" s="63"/>
      <c r="J35" s="65">
        <f>IF(AND($D35="P1",$E35&lt;&gt;"Complete",$E35&lt;&gt;"N/A"),COUNTIFS($D$6:$D35,"P1",$E$6:$E35,"&lt;&gt;Complete",$E$6:$E35,"&lt;&gt;N/A"),"")</f>
        <v>17</v>
      </c>
      <c r="K35" s="65" t="str">
        <f>IF(AND($F35&lt;&gt;"",$F35='10. Owner View'!$C$4,$E35&lt;&gt;"Complete",$E35&lt;&gt;"N/A"),COUNTIFS($F$6:$F35,'10. Owner View'!$C$4,$E$6:$E35,"&lt;&gt;Complete",$E$6:$E35,"&lt;&gt;N/A"),"")</f>
        <v/>
      </c>
    </row>
    <row r="36" spans="1:11" x14ac:dyDescent="0.45">
      <c r="A36" s="61" t="s">
        <v>886</v>
      </c>
      <c r="B36" s="48" t="s">
        <v>99</v>
      </c>
      <c r="C36" s="55" t="s">
        <v>887</v>
      </c>
      <c r="D36" s="62" t="s">
        <v>402</v>
      </c>
      <c r="E36" s="63" t="s">
        <v>827</v>
      </c>
      <c r="F36" s="63"/>
      <c r="G36" s="64"/>
      <c r="H36" s="47" t="str">
        <f t="shared" ca="1" si="0"/>
        <v/>
      </c>
      <c r="I36" s="63"/>
      <c r="J36" s="65" t="str">
        <f>IF(AND($D36="P1",$E36&lt;&gt;"Complete",$E36&lt;&gt;"N/A"),COUNTIFS($D$6:$D36,"P1",$E$6:$E36,"&lt;&gt;Complete",$E$6:$E36,"&lt;&gt;N/A"),"")</f>
        <v/>
      </c>
      <c r="K36" s="65" t="str">
        <f>IF(AND($F36&lt;&gt;"",$F36='10. Owner View'!$C$4,$E36&lt;&gt;"Complete",$E36&lt;&gt;"N/A"),COUNTIFS($F$6:$F36,'10. Owner View'!$C$4,$E$6:$E36,"&lt;&gt;Complete",$E$6:$E36,"&lt;&gt;N/A"),"")</f>
        <v/>
      </c>
    </row>
    <row r="37" spans="1:11" x14ac:dyDescent="0.45">
      <c r="A37" s="61" t="s">
        <v>888</v>
      </c>
      <c r="B37" s="48" t="s">
        <v>99</v>
      </c>
      <c r="C37" s="55" t="s">
        <v>889</v>
      </c>
      <c r="D37" s="62" t="s">
        <v>402</v>
      </c>
      <c r="E37" s="63" t="s">
        <v>827</v>
      </c>
      <c r="F37" s="63"/>
      <c r="G37" s="64"/>
      <c r="H37" s="47" t="str">
        <f t="shared" ca="1" si="0"/>
        <v/>
      </c>
      <c r="I37" s="63"/>
      <c r="J37" s="65" t="str">
        <f>IF(AND($D37="P1",$E37&lt;&gt;"Complete",$E37&lt;&gt;"N/A"),COUNTIFS($D$6:$D37,"P1",$E$6:$E37,"&lt;&gt;Complete",$E$6:$E37,"&lt;&gt;N/A"),"")</f>
        <v/>
      </c>
      <c r="K37" s="65" t="str">
        <f>IF(AND($F37&lt;&gt;"",$F37='10. Owner View'!$C$4,$E37&lt;&gt;"Complete",$E37&lt;&gt;"N/A"),COUNTIFS($F$6:$F37,'10. Owner View'!$C$4,$E$6:$E37,"&lt;&gt;Complete",$E$6:$E37,"&lt;&gt;N/A"),"")</f>
        <v/>
      </c>
    </row>
    <row r="38" spans="1:11" x14ac:dyDescent="0.45">
      <c r="A38" s="61" t="s">
        <v>890</v>
      </c>
      <c r="B38" s="48" t="s">
        <v>99</v>
      </c>
      <c r="C38" s="55" t="s">
        <v>891</v>
      </c>
      <c r="D38" s="62" t="s">
        <v>468</v>
      </c>
      <c r="E38" s="63" t="s">
        <v>827</v>
      </c>
      <c r="F38" s="63"/>
      <c r="G38" s="64"/>
      <c r="H38" s="47" t="str">
        <f t="shared" ca="1" si="0"/>
        <v/>
      </c>
      <c r="I38" s="63"/>
      <c r="J38" s="65" t="str">
        <f>IF(AND($D38="P1",$E38&lt;&gt;"Complete",$E38&lt;&gt;"N/A"),COUNTIFS($D$6:$D38,"P1",$E$6:$E38,"&lt;&gt;Complete",$E$6:$E38,"&lt;&gt;N/A"),"")</f>
        <v/>
      </c>
      <c r="K38" s="65" t="str">
        <f>IF(AND($F38&lt;&gt;"",$F38='10. Owner View'!$C$4,$E38&lt;&gt;"Complete",$E38&lt;&gt;"N/A"),COUNTIFS($F$6:$F38,'10. Owner View'!$C$4,$E$6:$E38,"&lt;&gt;Complete",$E$6:$E38,"&lt;&gt;N/A"),"")</f>
        <v/>
      </c>
    </row>
    <row r="39" spans="1:11" x14ac:dyDescent="0.45">
      <c r="A39" s="61" t="s">
        <v>892</v>
      </c>
      <c r="B39" s="48" t="s">
        <v>99</v>
      </c>
      <c r="C39" s="55" t="s">
        <v>893</v>
      </c>
      <c r="D39" s="62" t="s">
        <v>402</v>
      </c>
      <c r="E39" s="63" t="s">
        <v>827</v>
      </c>
      <c r="F39" s="63"/>
      <c r="G39" s="64"/>
      <c r="H39" s="47" t="str">
        <f t="shared" ca="1" si="0"/>
        <v/>
      </c>
      <c r="I39" s="63"/>
      <c r="J39" s="65" t="str">
        <f>IF(AND($D39="P1",$E39&lt;&gt;"Complete",$E39&lt;&gt;"N/A"),COUNTIFS($D$6:$D39,"P1",$E$6:$E39,"&lt;&gt;Complete",$E$6:$E39,"&lt;&gt;N/A"),"")</f>
        <v/>
      </c>
      <c r="K39" s="65" t="str">
        <f>IF(AND($F39&lt;&gt;"",$F39='10. Owner View'!$C$4,$E39&lt;&gt;"Complete",$E39&lt;&gt;"N/A"),COUNTIFS($F$6:$F39,'10. Owner View'!$C$4,$E$6:$E39,"&lt;&gt;Complete",$E$6:$E39,"&lt;&gt;N/A"),"")</f>
        <v/>
      </c>
    </row>
    <row r="40" spans="1:11" x14ac:dyDescent="0.45">
      <c r="A40" s="61" t="s">
        <v>894</v>
      </c>
      <c r="B40" s="48" t="s">
        <v>99</v>
      </c>
      <c r="C40" s="55" t="s">
        <v>895</v>
      </c>
      <c r="D40" s="62" t="s">
        <v>402</v>
      </c>
      <c r="E40" s="63" t="s">
        <v>827</v>
      </c>
      <c r="F40" s="63"/>
      <c r="G40" s="64"/>
      <c r="H40" s="47" t="str">
        <f t="shared" ca="1" si="0"/>
        <v/>
      </c>
      <c r="I40" s="63"/>
      <c r="J40" s="65" t="str">
        <f>IF(AND($D40="P1",$E40&lt;&gt;"Complete",$E40&lt;&gt;"N/A"),COUNTIFS($D$6:$D40,"P1",$E$6:$E40,"&lt;&gt;Complete",$E$6:$E40,"&lt;&gt;N/A"),"")</f>
        <v/>
      </c>
      <c r="K40" s="65" t="str">
        <f>IF(AND($F40&lt;&gt;"",$F40='10. Owner View'!$C$4,$E40&lt;&gt;"Complete",$E40&lt;&gt;"N/A"),COUNTIFS($F$6:$F40,'10. Owner View'!$C$4,$E$6:$E40,"&lt;&gt;Complete",$E$6:$E40,"&lt;&gt;N/A"),"")</f>
        <v/>
      </c>
    </row>
    <row r="41" spans="1:11" x14ac:dyDescent="0.45">
      <c r="A41" s="61" t="s">
        <v>896</v>
      </c>
      <c r="B41" s="48" t="s">
        <v>99</v>
      </c>
      <c r="C41" s="55" t="s">
        <v>897</v>
      </c>
      <c r="D41" s="62" t="s">
        <v>402</v>
      </c>
      <c r="E41" s="63" t="s">
        <v>827</v>
      </c>
      <c r="F41" s="63"/>
      <c r="G41" s="64"/>
      <c r="H41" s="47" t="str">
        <f t="shared" ca="1" si="0"/>
        <v/>
      </c>
      <c r="I41" s="63"/>
      <c r="J41" s="65" t="str">
        <f>IF(AND($D41="P1",$E41&lt;&gt;"Complete",$E41&lt;&gt;"N/A"),COUNTIFS($D$6:$D41,"P1",$E$6:$E41,"&lt;&gt;Complete",$E$6:$E41,"&lt;&gt;N/A"),"")</f>
        <v/>
      </c>
      <c r="K41" s="65" t="str">
        <f>IF(AND($F41&lt;&gt;"",$F41='10. Owner View'!$C$4,$E41&lt;&gt;"Complete",$E41&lt;&gt;"N/A"),COUNTIFS($F$6:$F41,'10. Owner View'!$C$4,$E$6:$E41,"&lt;&gt;Complete",$E$6:$E41,"&lt;&gt;N/A"),"")</f>
        <v/>
      </c>
    </row>
    <row r="42" spans="1:11" x14ac:dyDescent="0.45">
      <c r="A42" s="61" t="s">
        <v>898</v>
      </c>
      <c r="B42" s="48" t="s">
        <v>99</v>
      </c>
      <c r="C42" s="55" t="s">
        <v>899</v>
      </c>
      <c r="D42" s="62" t="s">
        <v>402</v>
      </c>
      <c r="E42" s="63" t="s">
        <v>827</v>
      </c>
      <c r="F42" s="63"/>
      <c r="G42" s="64"/>
      <c r="H42" s="47" t="str">
        <f t="shared" ca="1" si="0"/>
        <v/>
      </c>
      <c r="I42" s="63"/>
      <c r="J42" s="65" t="str">
        <f>IF(AND($D42="P1",$E42&lt;&gt;"Complete",$E42&lt;&gt;"N/A"),COUNTIFS($D$6:$D42,"P1",$E$6:$E42,"&lt;&gt;Complete",$E$6:$E42,"&lt;&gt;N/A"),"")</f>
        <v/>
      </c>
      <c r="K42" s="65" t="str">
        <f>IF(AND($F42&lt;&gt;"",$F42='10. Owner View'!$C$4,$E42&lt;&gt;"Complete",$E42&lt;&gt;"N/A"),COUNTIFS($F$6:$F42,'10. Owner View'!$C$4,$E$6:$E42,"&lt;&gt;Complete",$E$6:$E42,"&lt;&gt;N/A"),"")</f>
        <v/>
      </c>
    </row>
    <row r="43" spans="1:11" x14ac:dyDescent="0.45">
      <c r="A43" s="61" t="s">
        <v>900</v>
      </c>
      <c r="B43" s="48" t="s">
        <v>99</v>
      </c>
      <c r="C43" s="55" t="s">
        <v>901</v>
      </c>
      <c r="D43" s="62" t="s">
        <v>402</v>
      </c>
      <c r="E43" s="63" t="s">
        <v>827</v>
      </c>
      <c r="F43" s="63"/>
      <c r="G43" s="64"/>
      <c r="H43" s="47" t="str">
        <f t="shared" ca="1" si="0"/>
        <v/>
      </c>
      <c r="I43" s="63"/>
      <c r="J43" s="65" t="str">
        <f>IF(AND($D43="P1",$E43&lt;&gt;"Complete",$E43&lt;&gt;"N/A"),COUNTIFS($D$6:$D43,"P1",$E$6:$E43,"&lt;&gt;Complete",$E$6:$E43,"&lt;&gt;N/A"),"")</f>
        <v/>
      </c>
      <c r="K43" s="65" t="str">
        <f>IF(AND($F43&lt;&gt;"",$F43='10. Owner View'!$C$4,$E43&lt;&gt;"Complete",$E43&lt;&gt;"N/A"),COUNTIFS($F$6:$F43,'10. Owner View'!$C$4,$E$6:$E43,"&lt;&gt;Complete",$E$6:$E43,"&lt;&gt;N/A"),"")</f>
        <v/>
      </c>
    </row>
    <row r="44" spans="1:11" x14ac:dyDescent="0.45">
      <c r="A44" s="61" t="s">
        <v>902</v>
      </c>
      <c r="B44" s="48" t="s">
        <v>99</v>
      </c>
      <c r="C44" s="55" t="s">
        <v>903</v>
      </c>
      <c r="D44" s="62" t="s">
        <v>402</v>
      </c>
      <c r="E44" s="63" t="s">
        <v>827</v>
      </c>
      <c r="F44" s="63"/>
      <c r="G44" s="64"/>
      <c r="H44" s="47" t="str">
        <f t="shared" ca="1" si="0"/>
        <v/>
      </c>
      <c r="I44" s="63"/>
      <c r="J44" s="65" t="str">
        <f>IF(AND($D44="P1",$E44&lt;&gt;"Complete",$E44&lt;&gt;"N/A"),COUNTIFS($D$6:$D44,"P1",$E$6:$E44,"&lt;&gt;Complete",$E$6:$E44,"&lt;&gt;N/A"),"")</f>
        <v/>
      </c>
      <c r="K44" s="65" t="str">
        <f>IF(AND($F44&lt;&gt;"",$F44='10. Owner View'!$C$4,$E44&lt;&gt;"Complete",$E44&lt;&gt;"N/A"),COUNTIFS($F$6:$F44,'10. Owner View'!$C$4,$E$6:$E44,"&lt;&gt;Complete",$E$6:$E44,"&lt;&gt;N/A"),"")</f>
        <v/>
      </c>
    </row>
    <row r="45" spans="1:11" x14ac:dyDescent="0.45">
      <c r="A45" s="61" t="s">
        <v>904</v>
      </c>
      <c r="B45" s="48" t="s">
        <v>99</v>
      </c>
      <c r="C45" s="55" t="s">
        <v>905</v>
      </c>
      <c r="D45" s="62" t="s">
        <v>358</v>
      </c>
      <c r="E45" s="63" t="s">
        <v>827</v>
      </c>
      <c r="F45" s="63"/>
      <c r="G45" s="64"/>
      <c r="H45" s="47" t="str">
        <f t="shared" ca="1" si="0"/>
        <v/>
      </c>
      <c r="I45" s="63"/>
      <c r="J45" s="65">
        <f>IF(AND($D45="P1",$E45&lt;&gt;"Complete",$E45&lt;&gt;"N/A"),COUNTIFS($D$6:$D45,"P1",$E$6:$E45,"&lt;&gt;Complete",$E$6:$E45,"&lt;&gt;N/A"),"")</f>
        <v>18</v>
      </c>
      <c r="K45" s="65" t="str">
        <f>IF(AND($F45&lt;&gt;"",$F45='10. Owner View'!$C$4,$E45&lt;&gt;"Complete",$E45&lt;&gt;"N/A"),COUNTIFS($F$6:$F45,'10. Owner View'!$C$4,$E$6:$E45,"&lt;&gt;Complete",$E$6:$E45,"&lt;&gt;N/A"),"")</f>
        <v/>
      </c>
    </row>
    <row r="46" spans="1:11" x14ac:dyDescent="0.45">
      <c r="A46" s="61" t="s">
        <v>906</v>
      </c>
      <c r="B46" s="48" t="s">
        <v>100</v>
      </c>
      <c r="C46" s="55" t="s">
        <v>907</v>
      </c>
      <c r="D46" s="62" t="s">
        <v>358</v>
      </c>
      <c r="E46" s="63" t="s">
        <v>827</v>
      </c>
      <c r="F46" s="63"/>
      <c r="G46" s="64"/>
      <c r="H46" s="47" t="str">
        <f t="shared" ca="1" si="0"/>
        <v/>
      </c>
      <c r="I46" s="63"/>
      <c r="J46" s="65">
        <f>IF(AND($D46="P1",$E46&lt;&gt;"Complete",$E46&lt;&gt;"N/A"),COUNTIFS($D$6:$D46,"P1",$E$6:$E46,"&lt;&gt;Complete",$E$6:$E46,"&lt;&gt;N/A"),"")</f>
        <v>19</v>
      </c>
      <c r="K46" s="65" t="str">
        <f>IF(AND($F46&lt;&gt;"",$F46='10. Owner View'!$C$4,$E46&lt;&gt;"Complete",$E46&lt;&gt;"N/A"),COUNTIFS($F$6:$F46,'10. Owner View'!$C$4,$E$6:$E46,"&lt;&gt;Complete",$E$6:$E46,"&lt;&gt;N/A"),"")</f>
        <v/>
      </c>
    </row>
    <row r="47" spans="1:11" x14ac:dyDescent="0.45">
      <c r="A47" s="61" t="s">
        <v>908</v>
      </c>
      <c r="B47" s="48" t="s">
        <v>100</v>
      </c>
      <c r="C47" s="55" t="s">
        <v>909</v>
      </c>
      <c r="D47" s="62" t="s">
        <v>402</v>
      </c>
      <c r="E47" s="63" t="s">
        <v>827</v>
      </c>
      <c r="F47" s="63"/>
      <c r="G47" s="64"/>
      <c r="H47" s="47" t="str">
        <f t="shared" ca="1" si="0"/>
        <v/>
      </c>
      <c r="I47" s="63"/>
      <c r="J47" s="65" t="str">
        <f>IF(AND($D47="P1",$E47&lt;&gt;"Complete",$E47&lt;&gt;"N/A"),COUNTIFS($D$6:$D47,"P1",$E$6:$E47,"&lt;&gt;Complete",$E$6:$E47,"&lt;&gt;N/A"),"")</f>
        <v/>
      </c>
      <c r="K47" s="65" t="str">
        <f>IF(AND($F47&lt;&gt;"",$F47='10. Owner View'!$C$4,$E47&lt;&gt;"Complete",$E47&lt;&gt;"N/A"),COUNTIFS($F$6:$F47,'10. Owner View'!$C$4,$E$6:$E47,"&lt;&gt;Complete",$E$6:$E47,"&lt;&gt;N/A"),"")</f>
        <v/>
      </c>
    </row>
    <row r="48" spans="1:11" x14ac:dyDescent="0.45">
      <c r="A48" s="61" t="s">
        <v>910</v>
      </c>
      <c r="B48" s="48" t="s">
        <v>100</v>
      </c>
      <c r="C48" s="55" t="s">
        <v>911</v>
      </c>
      <c r="D48" s="62" t="s">
        <v>402</v>
      </c>
      <c r="E48" s="63" t="s">
        <v>827</v>
      </c>
      <c r="F48" s="63"/>
      <c r="G48" s="64"/>
      <c r="H48" s="47" t="str">
        <f t="shared" ca="1" si="0"/>
        <v/>
      </c>
      <c r="I48" s="63"/>
      <c r="J48" s="65" t="str">
        <f>IF(AND($D48="P1",$E48&lt;&gt;"Complete",$E48&lt;&gt;"N/A"),COUNTIFS($D$6:$D48,"P1",$E$6:$E48,"&lt;&gt;Complete",$E$6:$E48,"&lt;&gt;N/A"),"")</f>
        <v/>
      </c>
      <c r="K48" s="65" t="str">
        <f>IF(AND($F48&lt;&gt;"",$F48='10. Owner View'!$C$4,$E48&lt;&gt;"Complete",$E48&lt;&gt;"N/A"),COUNTIFS($F$6:$F48,'10. Owner View'!$C$4,$E$6:$E48,"&lt;&gt;Complete",$E$6:$E48,"&lt;&gt;N/A"),"")</f>
        <v/>
      </c>
    </row>
    <row r="49" spans="1:11" x14ac:dyDescent="0.45">
      <c r="A49" s="61" t="s">
        <v>912</v>
      </c>
      <c r="B49" s="48" t="s">
        <v>100</v>
      </c>
      <c r="C49" s="55" t="s">
        <v>913</v>
      </c>
      <c r="D49" s="62" t="s">
        <v>402</v>
      </c>
      <c r="E49" s="63" t="s">
        <v>827</v>
      </c>
      <c r="F49" s="63"/>
      <c r="G49" s="64"/>
      <c r="H49" s="47" t="str">
        <f t="shared" ca="1" si="0"/>
        <v/>
      </c>
      <c r="I49" s="63"/>
      <c r="J49" s="65" t="str">
        <f>IF(AND($D49="P1",$E49&lt;&gt;"Complete",$E49&lt;&gt;"N/A"),COUNTIFS($D$6:$D49,"P1",$E$6:$E49,"&lt;&gt;Complete",$E$6:$E49,"&lt;&gt;N/A"),"")</f>
        <v/>
      </c>
      <c r="K49" s="65" t="str">
        <f>IF(AND($F49&lt;&gt;"",$F49='10. Owner View'!$C$4,$E49&lt;&gt;"Complete",$E49&lt;&gt;"N/A"),COUNTIFS($F$6:$F49,'10. Owner View'!$C$4,$E$6:$E49,"&lt;&gt;Complete",$E$6:$E49,"&lt;&gt;N/A"),"")</f>
        <v/>
      </c>
    </row>
    <row r="50" spans="1:11" x14ac:dyDescent="0.45">
      <c r="A50" s="61" t="s">
        <v>914</v>
      </c>
      <c r="B50" s="48" t="s">
        <v>100</v>
      </c>
      <c r="C50" s="55" t="s">
        <v>915</v>
      </c>
      <c r="D50" s="62" t="s">
        <v>402</v>
      </c>
      <c r="E50" s="63" t="s">
        <v>827</v>
      </c>
      <c r="F50" s="63"/>
      <c r="G50" s="64"/>
      <c r="H50" s="47" t="str">
        <f t="shared" ca="1" si="0"/>
        <v/>
      </c>
      <c r="I50" s="63"/>
      <c r="J50" s="65" t="str">
        <f>IF(AND($D50="P1",$E50&lt;&gt;"Complete",$E50&lt;&gt;"N/A"),COUNTIFS($D$6:$D50,"P1",$E$6:$E50,"&lt;&gt;Complete",$E$6:$E50,"&lt;&gt;N/A"),"")</f>
        <v/>
      </c>
      <c r="K50" s="65" t="str">
        <f>IF(AND($F50&lt;&gt;"",$F50='10. Owner View'!$C$4,$E50&lt;&gt;"Complete",$E50&lt;&gt;"N/A"),COUNTIFS($F$6:$F50,'10. Owner View'!$C$4,$E$6:$E50,"&lt;&gt;Complete",$E$6:$E50,"&lt;&gt;N/A"),"")</f>
        <v/>
      </c>
    </row>
    <row r="51" spans="1:11" x14ac:dyDescent="0.45">
      <c r="A51" s="61" t="s">
        <v>916</v>
      </c>
      <c r="B51" s="48" t="s">
        <v>100</v>
      </c>
      <c r="C51" s="55" t="s">
        <v>917</v>
      </c>
      <c r="D51" s="62" t="s">
        <v>402</v>
      </c>
      <c r="E51" s="63" t="s">
        <v>827</v>
      </c>
      <c r="F51" s="63"/>
      <c r="G51" s="64"/>
      <c r="H51" s="47" t="str">
        <f t="shared" ca="1" si="0"/>
        <v/>
      </c>
      <c r="I51" s="63"/>
      <c r="J51" s="65" t="str">
        <f>IF(AND($D51="P1",$E51&lt;&gt;"Complete",$E51&lt;&gt;"N/A"),COUNTIFS($D$6:$D51,"P1",$E$6:$E51,"&lt;&gt;Complete",$E$6:$E51,"&lt;&gt;N/A"),"")</f>
        <v/>
      </c>
      <c r="K51" s="65" t="str">
        <f>IF(AND($F51&lt;&gt;"",$F51='10. Owner View'!$C$4,$E51&lt;&gt;"Complete",$E51&lt;&gt;"N/A"),COUNTIFS($F$6:$F51,'10. Owner View'!$C$4,$E$6:$E51,"&lt;&gt;Complete",$E$6:$E51,"&lt;&gt;N/A"),"")</f>
        <v/>
      </c>
    </row>
    <row r="52" spans="1:11" x14ac:dyDescent="0.45">
      <c r="A52" s="61" t="s">
        <v>918</v>
      </c>
      <c r="B52" s="48" t="s">
        <v>100</v>
      </c>
      <c r="C52" s="55" t="s">
        <v>919</v>
      </c>
      <c r="D52" s="62" t="s">
        <v>402</v>
      </c>
      <c r="E52" s="63" t="s">
        <v>827</v>
      </c>
      <c r="F52" s="63"/>
      <c r="G52" s="64"/>
      <c r="H52" s="47" t="str">
        <f t="shared" ca="1" si="0"/>
        <v/>
      </c>
      <c r="I52" s="63"/>
      <c r="J52" s="65" t="str">
        <f>IF(AND($D52="P1",$E52&lt;&gt;"Complete",$E52&lt;&gt;"N/A"),COUNTIFS($D$6:$D52,"P1",$E$6:$E52,"&lt;&gt;Complete",$E$6:$E52,"&lt;&gt;N/A"),"")</f>
        <v/>
      </c>
      <c r="K52" s="65" t="str">
        <f>IF(AND($F52&lt;&gt;"",$F52='10. Owner View'!$C$4,$E52&lt;&gt;"Complete",$E52&lt;&gt;"N/A"),COUNTIFS($F$6:$F52,'10. Owner View'!$C$4,$E$6:$E52,"&lt;&gt;Complete",$E$6:$E52,"&lt;&gt;N/A"),"")</f>
        <v/>
      </c>
    </row>
    <row r="53" spans="1:11" x14ac:dyDescent="0.45">
      <c r="A53" s="61" t="s">
        <v>920</v>
      </c>
      <c r="B53" s="48" t="s">
        <v>100</v>
      </c>
      <c r="C53" s="55" t="s">
        <v>921</v>
      </c>
      <c r="D53" s="62" t="s">
        <v>402</v>
      </c>
      <c r="E53" s="63" t="s">
        <v>827</v>
      </c>
      <c r="F53" s="63"/>
      <c r="G53" s="64"/>
      <c r="H53" s="47" t="str">
        <f t="shared" ca="1" si="0"/>
        <v/>
      </c>
      <c r="I53" s="63"/>
      <c r="J53" s="65" t="str">
        <f>IF(AND($D53="P1",$E53&lt;&gt;"Complete",$E53&lt;&gt;"N/A"),COUNTIFS($D$6:$D53,"P1",$E$6:$E53,"&lt;&gt;Complete",$E$6:$E53,"&lt;&gt;N/A"),"")</f>
        <v/>
      </c>
      <c r="K53" s="65" t="str">
        <f>IF(AND($F53&lt;&gt;"",$F53='10. Owner View'!$C$4,$E53&lt;&gt;"Complete",$E53&lt;&gt;"N/A"),COUNTIFS($F$6:$F53,'10. Owner View'!$C$4,$E$6:$E53,"&lt;&gt;Complete",$E$6:$E53,"&lt;&gt;N/A"),"")</f>
        <v/>
      </c>
    </row>
    <row r="54" spans="1:11" x14ac:dyDescent="0.45">
      <c r="A54" s="61" t="s">
        <v>922</v>
      </c>
      <c r="B54" s="48" t="s">
        <v>100</v>
      </c>
      <c r="C54" s="55" t="s">
        <v>923</v>
      </c>
      <c r="D54" s="62" t="s">
        <v>358</v>
      </c>
      <c r="E54" s="63" t="s">
        <v>827</v>
      </c>
      <c r="F54" s="63"/>
      <c r="G54" s="64"/>
      <c r="H54" s="47" t="str">
        <f t="shared" ca="1" si="0"/>
        <v/>
      </c>
      <c r="I54" s="63"/>
      <c r="J54" s="65">
        <f>IF(AND($D54="P1",$E54&lt;&gt;"Complete",$E54&lt;&gt;"N/A"),COUNTIFS($D$6:$D54,"P1",$E$6:$E54,"&lt;&gt;Complete",$E$6:$E54,"&lt;&gt;N/A"),"")</f>
        <v>20</v>
      </c>
      <c r="K54" s="65" t="str">
        <f>IF(AND($F54&lt;&gt;"",$F54='10. Owner View'!$C$4,$E54&lt;&gt;"Complete",$E54&lt;&gt;"N/A"),COUNTIFS($F$6:$F54,'10. Owner View'!$C$4,$E$6:$E54,"&lt;&gt;Complete",$E$6:$E54,"&lt;&gt;N/A"),"")</f>
        <v/>
      </c>
    </row>
    <row r="55" spans="1:11" x14ac:dyDescent="0.45">
      <c r="A55" s="61" t="s">
        <v>924</v>
      </c>
      <c r="B55" s="48" t="s">
        <v>100</v>
      </c>
      <c r="C55" s="55" t="s">
        <v>925</v>
      </c>
      <c r="D55" s="62" t="s">
        <v>402</v>
      </c>
      <c r="E55" s="63" t="s">
        <v>827</v>
      </c>
      <c r="F55" s="63"/>
      <c r="G55" s="64"/>
      <c r="H55" s="47" t="str">
        <f t="shared" ca="1" si="0"/>
        <v/>
      </c>
      <c r="I55" s="63"/>
      <c r="J55" s="65" t="str">
        <f>IF(AND($D55="P1",$E55&lt;&gt;"Complete",$E55&lt;&gt;"N/A"),COUNTIFS($D$6:$D55,"P1",$E$6:$E55,"&lt;&gt;Complete",$E$6:$E55,"&lt;&gt;N/A"),"")</f>
        <v/>
      </c>
      <c r="K55" s="65" t="str">
        <f>IF(AND($F55&lt;&gt;"",$F55='10. Owner View'!$C$4,$E55&lt;&gt;"Complete",$E55&lt;&gt;"N/A"),COUNTIFS($F$6:$F55,'10. Owner View'!$C$4,$E$6:$E55,"&lt;&gt;Complete",$E$6:$E55,"&lt;&gt;N/A"),"")</f>
        <v/>
      </c>
    </row>
    <row r="56" spans="1:11" x14ac:dyDescent="0.45">
      <c r="A56" s="61" t="s">
        <v>926</v>
      </c>
      <c r="B56" s="48" t="s">
        <v>100</v>
      </c>
      <c r="C56" s="55" t="s">
        <v>927</v>
      </c>
      <c r="D56" s="62" t="s">
        <v>402</v>
      </c>
      <c r="E56" s="63" t="s">
        <v>827</v>
      </c>
      <c r="F56" s="63"/>
      <c r="G56" s="64"/>
      <c r="H56" s="47" t="str">
        <f t="shared" ca="1" si="0"/>
        <v/>
      </c>
      <c r="I56" s="63"/>
      <c r="J56" s="65" t="str">
        <f>IF(AND($D56="P1",$E56&lt;&gt;"Complete",$E56&lt;&gt;"N/A"),COUNTIFS($D$6:$D56,"P1",$E$6:$E56,"&lt;&gt;Complete",$E$6:$E56,"&lt;&gt;N/A"),"")</f>
        <v/>
      </c>
      <c r="K56" s="65" t="str">
        <f>IF(AND($F56&lt;&gt;"",$F56='10. Owner View'!$C$4,$E56&lt;&gt;"Complete",$E56&lt;&gt;"N/A"),COUNTIFS($F$6:$F56,'10. Owner View'!$C$4,$E$6:$E56,"&lt;&gt;Complete",$E$6:$E56,"&lt;&gt;N/A"),"")</f>
        <v/>
      </c>
    </row>
    <row r="57" spans="1:11" x14ac:dyDescent="0.45">
      <c r="A57" s="61" t="s">
        <v>928</v>
      </c>
      <c r="B57" s="48" t="s">
        <v>100</v>
      </c>
      <c r="C57" s="55" t="s">
        <v>929</v>
      </c>
      <c r="D57" s="62" t="s">
        <v>358</v>
      </c>
      <c r="E57" s="63" t="s">
        <v>827</v>
      </c>
      <c r="F57" s="63"/>
      <c r="G57" s="64"/>
      <c r="H57" s="47" t="str">
        <f t="shared" ca="1" si="0"/>
        <v/>
      </c>
      <c r="I57" s="63"/>
      <c r="J57" s="65">
        <f>IF(AND($D57="P1",$E57&lt;&gt;"Complete",$E57&lt;&gt;"N/A"),COUNTIFS($D$6:$D57,"P1",$E$6:$E57,"&lt;&gt;Complete",$E$6:$E57,"&lt;&gt;N/A"),"")</f>
        <v>21</v>
      </c>
      <c r="K57" s="65" t="str">
        <f>IF(AND($F57&lt;&gt;"",$F57='10. Owner View'!$C$4,$E57&lt;&gt;"Complete",$E57&lt;&gt;"N/A"),COUNTIFS($F$6:$F57,'10. Owner View'!$C$4,$E$6:$E57,"&lt;&gt;Complete",$E$6:$E57,"&lt;&gt;N/A"),"")</f>
        <v/>
      </c>
    </row>
    <row r="58" spans="1:11" x14ac:dyDescent="0.45">
      <c r="A58" s="61" t="s">
        <v>930</v>
      </c>
      <c r="B58" s="48" t="s">
        <v>100</v>
      </c>
      <c r="C58" s="55" t="s">
        <v>931</v>
      </c>
      <c r="D58" s="62" t="s">
        <v>358</v>
      </c>
      <c r="E58" s="63" t="s">
        <v>827</v>
      </c>
      <c r="F58" s="63"/>
      <c r="G58" s="64"/>
      <c r="H58" s="47" t="str">
        <f t="shared" ca="1" si="0"/>
        <v/>
      </c>
      <c r="I58" s="63"/>
      <c r="J58" s="65">
        <f>IF(AND($D58="P1",$E58&lt;&gt;"Complete",$E58&lt;&gt;"N/A"),COUNTIFS($D$6:$D58,"P1",$E$6:$E58,"&lt;&gt;Complete",$E$6:$E58,"&lt;&gt;N/A"),"")</f>
        <v>22</v>
      </c>
      <c r="K58" s="65" t="str">
        <f>IF(AND($F58&lt;&gt;"",$F58='10. Owner View'!$C$4,$E58&lt;&gt;"Complete",$E58&lt;&gt;"N/A"),COUNTIFS($F$6:$F58,'10. Owner View'!$C$4,$E$6:$E58,"&lt;&gt;Complete",$E$6:$E58,"&lt;&gt;N/A"),"")</f>
        <v/>
      </c>
    </row>
    <row r="59" spans="1:11" x14ac:dyDescent="0.45">
      <c r="A59" s="61" t="s">
        <v>932</v>
      </c>
      <c r="B59" s="48" t="s">
        <v>100</v>
      </c>
      <c r="C59" s="55" t="s">
        <v>933</v>
      </c>
      <c r="D59" s="62" t="s">
        <v>358</v>
      </c>
      <c r="E59" s="63" t="s">
        <v>827</v>
      </c>
      <c r="F59" s="63"/>
      <c r="G59" s="64"/>
      <c r="H59" s="47" t="str">
        <f t="shared" ca="1" si="0"/>
        <v/>
      </c>
      <c r="I59" s="63"/>
      <c r="J59" s="65">
        <f>IF(AND($D59="P1",$E59&lt;&gt;"Complete",$E59&lt;&gt;"N/A"),COUNTIFS($D$6:$D59,"P1",$E$6:$E59,"&lt;&gt;Complete",$E$6:$E59,"&lt;&gt;N/A"),"")</f>
        <v>23</v>
      </c>
      <c r="K59" s="65" t="str">
        <f>IF(AND($F59&lt;&gt;"",$F59='10. Owner View'!$C$4,$E59&lt;&gt;"Complete",$E59&lt;&gt;"N/A"),COUNTIFS($F$6:$F59,'10. Owner View'!$C$4,$E$6:$E59,"&lt;&gt;Complete",$E$6:$E59,"&lt;&gt;N/A"),"")</f>
        <v/>
      </c>
    </row>
    <row r="60" spans="1:11" x14ac:dyDescent="0.45">
      <c r="A60" s="61" t="s">
        <v>934</v>
      </c>
      <c r="B60" s="48" t="s">
        <v>100</v>
      </c>
      <c r="C60" s="55" t="s">
        <v>935</v>
      </c>
      <c r="D60" s="62" t="s">
        <v>358</v>
      </c>
      <c r="E60" s="63" t="s">
        <v>827</v>
      </c>
      <c r="F60" s="63"/>
      <c r="G60" s="64"/>
      <c r="H60" s="47" t="str">
        <f t="shared" ca="1" si="0"/>
        <v/>
      </c>
      <c r="I60" s="63"/>
      <c r="J60" s="65">
        <f>IF(AND($D60="P1",$E60&lt;&gt;"Complete",$E60&lt;&gt;"N/A"),COUNTIFS($D$6:$D60,"P1",$E$6:$E60,"&lt;&gt;Complete",$E$6:$E60,"&lt;&gt;N/A"),"")</f>
        <v>24</v>
      </c>
      <c r="K60" s="65" t="str">
        <f>IF(AND($F60&lt;&gt;"",$F60='10. Owner View'!$C$4,$E60&lt;&gt;"Complete",$E60&lt;&gt;"N/A"),COUNTIFS($F$6:$F60,'10. Owner View'!$C$4,$E$6:$E60,"&lt;&gt;Complete",$E$6:$E60,"&lt;&gt;N/A"),"")</f>
        <v/>
      </c>
    </row>
    <row r="61" spans="1:11" x14ac:dyDescent="0.45">
      <c r="A61" s="61" t="s">
        <v>936</v>
      </c>
      <c r="B61" s="48" t="s">
        <v>100</v>
      </c>
      <c r="C61" s="55" t="s">
        <v>937</v>
      </c>
      <c r="D61" s="62" t="s">
        <v>358</v>
      </c>
      <c r="E61" s="63" t="s">
        <v>827</v>
      </c>
      <c r="F61" s="63"/>
      <c r="G61" s="64"/>
      <c r="H61" s="47" t="str">
        <f t="shared" ca="1" si="0"/>
        <v/>
      </c>
      <c r="I61" s="63"/>
      <c r="J61" s="65">
        <f>IF(AND($D61="P1",$E61&lt;&gt;"Complete",$E61&lt;&gt;"N/A"),COUNTIFS($D$6:$D61,"P1",$E$6:$E61,"&lt;&gt;Complete",$E$6:$E61,"&lt;&gt;N/A"),"")</f>
        <v>25</v>
      </c>
      <c r="K61" s="65" t="str">
        <f>IF(AND($F61&lt;&gt;"",$F61='10. Owner View'!$C$4,$E61&lt;&gt;"Complete",$E61&lt;&gt;"N/A"),COUNTIFS($F$6:$F61,'10. Owner View'!$C$4,$E$6:$E61,"&lt;&gt;Complete",$E$6:$E61,"&lt;&gt;N/A"),"")</f>
        <v/>
      </c>
    </row>
    <row r="62" spans="1:11" x14ac:dyDescent="0.45">
      <c r="A62" s="61" t="s">
        <v>938</v>
      </c>
      <c r="B62" s="48" t="s">
        <v>100</v>
      </c>
      <c r="C62" s="55" t="s">
        <v>939</v>
      </c>
      <c r="D62" s="62" t="s">
        <v>402</v>
      </c>
      <c r="E62" s="63" t="s">
        <v>827</v>
      </c>
      <c r="F62" s="63"/>
      <c r="G62" s="64"/>
      <c r="H62" s="47" t="str">
        <f t="shared" ca="1" si="0"/>
        <v/>
      </c>
      <c r="I62" s="63"/>
      <c r="J62" s="65" t="str">
        <f>IF(AND($D62="P1",$E62&lt;&gt;"Complete",$E62&lt;&gt;"N/A"),COUNTIFS($D$6:$D62,"P1",$E$6:$E62,"&lt;&gt;Complete",$E$6:$E62,"&lt;&gt;N/A"),"")</f>
        <v/>
      </c>
      <c r="K62" s="65" t="str">
        <f>IF(AND($F62&lt;&gt;"",$F62='10. Owner View'!$C$4,$E62&lt;&gt;"Complete",$E62&lt;&gt;"N/A"),COUNTIFS($F$6:$F62,'10. Owner View'!$C$4,$E$6:$E62,"&lt;&gt;Complete",$E$6:$E62,"&lt;&gt;N/A"),"")</f>
        <v/>
      </c>
    </row>
    <row r="63" spans="1:11" x14ac:dyDescent="0.45">
      <c r="A63" s="61" t="s">
        <v>940</v>
      </c>
      <c r="B63" s="48" t="s">
        <v>100</v>
      </c>
      <c r="C63" s="55" t="s">
        <v>941</v>
      </c>
      <c r="D63" s="62" t="s">
        <v>402</v>
      </c>
      <c r="E63" s="63" t="s">
        <v>827</v>
      </c>
      <c r="F63" s="63"/>
      <c r="G63" s="64"/>
      <c r="H63" s="47" t="str">
        <f t="shared" ca="1" si="0"/>
        <v/>
      </c>
      <c r="I63" s="63"/>
      <c r="J63" s="65" t="str">
        <f>IF(AND($D63="P1",$E63&lt;&gt;"Complete",$E63&lt;&gt;"N/A"),COUNTIFS($D$6:$D63,"P1",$E$6:$E63,"&lt;&gt;Complete",$E$6:$E63,"&lt;&gt;N/A"),"")</f>
        <v/>
      </c>
      <c r="K63" s="65" t="str">
        <f>IF(AND($F63&lt;&gt;"",$F63='10. Owner View'!$C$4,$E63&lt;&gt;"Complete",$E63&lt;&gt;"N/A"),COUNTIFS($F$6:$F63,'10. Owner View'!$C$4,$E$6:$E63,"&lt;&gt;Complete",$E$6:$E63,"&lt;&gt;N/A"),"")</f>
        <v/>
      </c>
    </row>
    <row r="64" spans="1:11" x14ac:dyDescent="0.45">
      <c r="A64" s="61" t="s">
        <v>942</v>
      </c>
      <c r="B64" s="48" t="s">
        <v>100</v>
      </c>
      <c r="C64" s="55" t="s">
        <v>943</v>
      </c>
      <c r="D64" s="62" t="s">
        <v>402</v>
      </c>
      <c r="E64" s="63" t="s">
        <v>827</v>
      </c>
      <c r="F64" s="63"/>
      <c r="G64" s="64"/>
      <c r="H64" s="47" t="str">
        <f t="shared" ca="1" si="0"/>
        <v/>
      </c>
      <c r="I64" s="63"/>
      <c r="J64" s="65" t="str">
        <f>IF(AND($D64="P1",$E64&lt;&gt;"Complete",$E64&lt;&gt;"N/A"),COUNTIFS($D$6:$D64,"P1",$E$6:$E64,"&lt;&gt;Complete",$E$6:$E64,"&lt;&gt;N/A"),"")</f>
        <v/>
      </c>
      <c r="K64" s="65" t="str">
        <f>IF(AND($F64&lt;&gt;"",$F64='10. Owner View'!$C$4,$E64&lt;&gt;"Complete",$E64&lt;&gt;"N/A"),COUNTIFS($F$6:$F64,'10. Owner View'!$C$4,$E$6:$E64,"&lt;&gt;Complete",$E$6:$E64,"&lt;&gt;N/A"),"")</f>
        <v/>
      </c>
    </row>
    <row r="65" spans="1:11" x14ac:dyDescent="0.45">
      <c r="A65" s="61" t="s">
        <v>944</v>
      </c>
      <c r="B65" s="48" t="s">
        <v>100</v>
      </c>
      <c r="C65" s="55" t="s">
        <v>945</v>
      </c>
      <c r="D65" s="62" t="s">
        <v>402</v>
      </c>
      <c r="E65" s="63" t="s">
        <v>827</v>
      </c>
      <c r="F65" s="63"/>
      <c r="G65" s="64"/>
      <c r="H65" s="47" t="str">
        <f t="shared" ca="1" si="0"/>
        <v/>
      </c>
      <c r="I65" s="63"/>
      <c r="J65" s="65" t="str">
        <f>IF(AND($D65="P1",$E65&lt;&gt;"Complete",$E65&lt;&gt;"N/A"),COUNTIFS($D$6:$D65,"P1",$E$6:$E65,"&lt;&gt;Complete",$E$6:$E65,"&lt;&gt;N/A"),"")</f>
        <v/>
      </c>
      <c r="K65" s="65" t="str">
        <f>IF(AND($F65&lt;&gt;"",$F65='10. Owner View'!$C$4,$E65&lt;&gt;"Complete",$E65&lt;&gt;"N/A"),COUNTIFS($F$6:$F65,'10. Owner View'!$C$4,$E$6:$E65,"&lt;&gt;Complete",$E$6:$E65,"&lt;&gt;N/A"),"")</f>
        <v/>
      </c>
    </row>
    <row r="66" spans="1:11" x14ac:dyDescent="0.45">
      <c r="A66" s="61" t="s">
        <v>946</v>
      </c>
      <c r="B66" s="48" t="s">
        <v>100</v>
      </c>
      <c r="C66" s="55" t="s">
        <v>947</v>
      </c>
      <c r="D66" s="62" t="s">
        <v>358</v>
      </c>
      <c r="E66" s="63" t="s">
        <v>827</v>
      </c>
      <c r="F66" s="63"/>
      <c r="G66" s="64"/>
      <c r="H66" s="47" t="str">
        <f t="shared" ca="1" si="0"/>
        <v/>
      </c>
      <c r="I66" s="63"/>
      <c r="J66" s="65">
        <f>IF(AND($D66="P1",$E66&lt;&gt;"Complete",$E66&lt;&gt;"N/A"),COUNTIFS($D$6:$D66,"P1",$E$6:$E66,"&lt;&gt;Complete",$E$6:$E66,"&lt;&gt;N/A"),"")</f>
        <v>26</v>
      </c>
      <c r="K66" s="65" t="str">
        <f>IF(AND($F66&lt;&gt;"",$F66='10. Owner View'!$C$4,$E66&lt;&gt;"Complete",$E66&lt;&gt;"N/A"),COUNTIFS($F$6:$F66,'10. Owner View'!$C$4,$E$6:$E66,"&lt;&gt;Complete",$E$6:$E66,"&lt;&gt;N/A"),"")</f>
        <v/>
      </c>
    </row>
    <row r="67" spans="1:11" x14ac:dyDescent="0.45">
      <c r="A67" s="61" t="s">
        <v>948</v>
      </c>
      <c r="B67" s="48" t="s">
        <v>100</v>
      </c>
      <c r="C67" s="55" t="s">
        <v>949</v>
      </c>
      <c r="D67" s="62" t="s">
        <v>402</v>
      </c>
      <c r="E67" s="63" t="s">
        <v>827</v>
      </c>
      <c r="F67" s="63"/>
      <c r="G67" s="64"/>
      <c r="H67" s="47" t="str">
        <f t="shared" ca="1" si="0"/>
        <v/>
      </c>
      <c r="I67" s="63"/>
      <c r="J67" s="65" t="str">
        <f>IF(AND($D67="P1",$E67&lt;&gt;"Complete",$E67&lt;&gt;"N/A"),COUNTIFS($D$6:$D67,"P1",$E$6:$E67,"&lt;&gt;Complete",$E$6:$E67,"&lt;&gt;N/A"),"")</f>
        <v/>
      </c>
      <c r="K67" s="65" t="str">
        <f>IF(AND($F67&lt;&gt;"",$F67='10. Owner View'!$C$4,$E67&lt;&gt;"Complete",$E67&lt;&gt;"N/A"),COUNTIFS($F$6:$F67,'10. Owner View'!$C$4,$E$6:$E67,"&lt;&gt;Complete",$E$6:$E67,"&lt;&gt;N/A"),"")</f>
        <v/>
      </c>
    </row>
    <row r="68" spans="1:11" x14ac:dyDescent="0.45">
      <c r="A68" s="61" t="s">
        <v>950</v>
      </c>
      <c r="B68" s="48" t="s">
        <v>100</v>
      </c>
      <c r="C68" s="55" t="s">
        <v>951</v>
      </c>
      <c r="D68" s="62" t="s">
        <v>358</v>
      </c>
      <c r="E68" s="63" t="s">
        <v>827</v>
      </c>
      <c r="F68" s="63"/>
      <c r="G68" s="64"/>
      <c r="H68" s="47" t="str">
        <f t="shared" ca="1" si="0"/>
        <v/>
      </c>
      <c r="I68" s="63"/>
      <c r="J68" s="65">
        <f>IF(AND($D68="P1",$E68&lt;&gt;"Complete",$E68&lt;&gt;"N/A"),COUNTIFS($D$6:$D68,"P1",$E$6:$E68,"&lt;&gt;Complete",$E$6:$E68,"&lt;&gt;N/A"),"")</f>
        <v>27</v>
      </c>
      <c r="K68" s="65" t="str">
        <f>IF(AND($F68&lt;&gt;"",$F68='10. Owner View'!$C$4,$E68&lt;&gt;"Complete",$E68&lt;&gt;"N/A"),COUNTIFS($F$6:$F68,'10. Owner View'!$C$4,$E$6:$E68,"&lt;&gt;Complete",$E$6:$E68,"&lt;&gt;N/A"),"")</f>
        <v/>
      </c>
    </row>
    <row r="69" spans="1:11" x14ac:dyDescent="0.45">
      <c r="A69" s="61" t="s">
        <v>952</v>
      </c>
      <c r="B69" s="48" t="s">
        <v>100</v>
      </c>
      <c r="C69" s="55" t="s">
        <v>953</v>
      </c>
      <c r="D69" s="62" t="s">
        <v>402</v>
      </c>
      <c r="E69" s="63" t="s">
        <v>827</v>
      </c>
      <c r="F69" s="63"/>
      <c r="G69" s="64"/>
      <c r="H69" s="47" t="str">
        <f t="shared" ca="1" si="0"/>
        <v/>
      </c>
      <c r="I69" s="63"/>
      <c r="J69" s="65" t="str">
        <f>IF(AND($D69="P1",$E69&lt;&gt;"Complete",$E69&lt;&gt;"N/A"),COUNTIFS($D$6:$D69,"P1",$E$6:$E69,"&lt;&gt;Complete",$E$6:$E69,"&lt;&gt;N/A"),"")</f>
        <v/>
      </c>
      <c r="K69" s="65" t="str">
        <f>IF(AND($F69&lt;&gt;"",$F69='10. Owner View'!$C$4,$E69&lt;&gt;"Complete",$E69&lt;&gt;"N/A"),COUNTIFS($F$6:$F69,'10. Owner View'!$C$4,$E$6:$E69,"&lt;&gt;Complete",$E$6:$E69,"&lt;&gt;N/A"),"")</f>
        <v/>
      </c>
    </row>
    <row r="70" spans="1:11" x14ac:dyDescent="0.45">
      <c r="A70" s="61" t="s">
        <v>954</v>
      </c>
      <c r="B70" s="48" t="s">
        <v>101</v>
      </c>
      <c r="C70" s="55" t="s">
        <v>955</v>
      </c>
      <c r="D70" s="62" t="s">
        <v>358</v>
      </c>
      <c r="E70" s="63" t="s">
        <v>827</v>
      </c>
      <c r="F70" s="63"/>
      <c r="G70" s="64"/>
      <c r="H70" s="47" t="str">
        <f t="shared" ref="H70:H133" ca="1" si="1">IF($G70="","",IF($E70="Complete","done",$G70-TODAY()))</f>
        <v/>
      </c>
      <c r="I70" s="63"/>
      <c r="J70" s="65">
        <f>IF(AND($D70="P1",$E70&lt;&gt;"Complete",$E70&lt;&gt;"N/A"),COUNTIFS($D$6:$D70,"P1",$E$6:$E70,"&lt;&gt;Complete",$E$6:$E70,"&lt;&gt;N/A"),"")</f>
        <v>28</v>
      </c>
      <c r="K70" s="65" t="str">
        <f>IF(AND($F70&lt;&gt;"",$F70='10. Owner View'!$C$4,$E70&lt;&gt;"Complete",$E70&lt;&gt;"N/A"),COUNTIFS($F$6:$F70,'10. Owner View'!$C$4,$E$6:$E70,"&lt;&gt;Complete",$E$6:$E70,"&lt;&gt;N/A"),"")</f>
        <v/>
      </c>
    </row>
    <row r="71" spans="1:11" x14ac:dyDescent="0.45">
      <c r="A71" s="61" t="s">
        <v>956</v>
      </c>
      <c r="B71" s="48" t="s">
        <v>101</v>
      </c>
      <c r="C71" s="55" t="s">
        <v>957</v>
      </c>
      <c r="D71" s="62" t="s">
        <v>358</v>
      </c>
      <c r="E71" s="63" t="s">
        <v>827</v>
      </c>
      <c r="F71" s="63"/>
      <c r="G71" s="64"/>
      <c r="H71" s="47" t="str">
        <f t="shared" ca="1" si="1"/>
        <v/>
      </c>
      <c r="I71" s="63"/>
      <c r="J71" s="65">
        <f>IF(AND($D71="P1",$E71&lt;&gt;"Complete",$E71&lt;&gt;"N/A"),COUNTIFS($D$6:$D71,"P1",$E$6:$E71,"&lt;&gt;Complete",$E$6:$E71,"&lt;&gt;N/A"),"")</f>
        <v>29</v>
      </c>
      <c r="K71" s="65" t="str">
        <f>IF(AND($F71&lt;&gt;"",$F71='10. Owner View'!$C$4,$E71&lt;&gt;"Complete",$E71&lt;&gt;"N/A"),COUNTIFS($F$6:$F71,'10. Owner View'!$C$4,$E$6:$E71,"&lt;&gt;Complete",$E$6:$E71,"&lt;&gt;N/A"),"")</f>
        <v/>
      </c>
    </row>
    <row r="72" spans="1:11" x14ac:dyDescent="0.45">
      <c r="A72" s="61" t="s">
        <v>958</v>
      </c>
      <c r="B72" s="48" t="s">
        <v>101</v>
      </c>
      <c r="C72" s="55" t="s">
        <v>959</v>
      </c>
      <c r="D72" s="62" t="s">
        <v>358</v>
      </c>
      <c r="E72" s="63" t="s">
        <v>827</v>
      </c>
      <c r="F72" s="63"/>
      <c r="G72" s="64"/>
      <c r="H72" s="47" t="str">
        <f t="shared" ca="1" si="1"/>
        <v/>
      </c>
      <c r="I72" s="63"/>
      <c r="J72" s="65">
        <f>IF(AND($D72="P1",$E72&lt;&gt;"Complete",$E72&lt;&gt;"N/A"),COUNTIFS($D$6:$D72,"P1",$E$6:$E72,"&lt;&gt;Complete",$E$6:$E72,"&lt;&gt;N/A"),"")</f>
        <v>30</v>
      </c>
      <c r="K72" s="65" t="str">
        <f>IF(AND($F72&lt;&gt;"",$F72='10. Owner View'!$C$4,$E72&lt;&gt;"Complete",$E72&lt;&gt;"N/A"),COUNTIFS($F$6:$F72,'10. Owner View'!$C$4,$E$6:$E72,"&lt;&gt;Complete",$E$6:$E72,"&lt;&gt;N/A"),"")</f>
        <v/>
      </c>
    </row>
    <row r="73" spans="1:11" x14ac:dyDescent="0.45">
      <c r="A73" s="61" t="s">
        <v>960</v>
      </c>
      <c r="B73" s="48" t="s">
        <v>101</v>
      </c>
      <c r="C73" s="55" t="s">
        <v>961</v>
      </c>
      <c r="D73" s="62" t="s">
        <v>358</v>
      </c>
      <c r="E73" s="63" t="s">
        <v>827</v>
      </c>
      <c r="F73" s="63"/>
      <c r="G73" s="64"/>
      <c r="H73" s="47" t="str">
        <f t="shared" ca="1" si="1"/>
        <v/>
      </c>
      <c r="I73" s="63"/>
      <c r="J73" s="65">
        <f>IF(AND($D73="P1",$E73&lt;&gt;"Complete",$E73&lt;&gt;"N/A"),COUNTIFS($D$6:$D73,"P1",$E$6:$E73,"&lt;&gt;Complete",$E$6:$E73,"&lt;&gt;N/A"),"")</f>
        <v>31</v>
      </c>
      <c r="K73" s="65" t="str">
        <f>IF(AND($F73&lt;&gt;"",$F73='10. Owner View'!$C$4,$E73&lt;&gt;"Complete",$E73&lt;&gt;"N/A"),COUNTIFS($F$6:$F73,'10. Owner View'!$C$4,$E$6:$E73,"&lt;&gt;Complete",$E$6:$E73,"&lt;&gt;N/A"),"")</f>
        <v/>
      </c>
    </row>
    <row r="74" spans="1:11" x14ac:dyDescent="0.45">
      <c r="A74" s="61" t="s">
        <v>962</v>
      </c>
      <c r="B74" s="48" t="s">
        <v>101</v>
      </c>
      <c r="C74" s="55" t="s">
        <v>963</v>
      </c>
      <c r="D74" s="62" t="s">
        <v>402</v>
      </c>
      <c r="E74" s="63" t="s">
        <v>827</v>
      </c>
      <c r="F74" s="63"/>
      <c r="G74" s="64"/>
      <c r="H74" s="47" t="str">
        <f t="shared" ca="1" si="1"/>
        <v/>
      </c>
      <c r="I74" s="63"/>
      <c r="J74" s="65" t="str">
        <f>IF(AND($D74="P1",$E74&lt;&gt;"Complete",$E74&lt;&gt;"N/A"),COUNTIFS($D$6:$D74,"P1",$E$6:$E74,"&lt;&gt;Complete",$E$6:$E74,"&lt;&gt;N/A"),"")</f>
        <v/>
      </c>
      <c r="K74" s="65" t="str">
        <f>IF(AND($F74&lt;&gt;"",$F74='10. Owner View'!$C$4,$E74&lt;&gt;"Complete",$E74&lt;&gt;"N/A"),COUNTIFS($F$6:$F74,'10. Owner View'!$C$4,$E$6:$E74,"&lt;&gt;Complete",$E$6:$E74,"&lt;&gt;N/A"),"")</f>
        <v/>
      </c>
    </row>
    <row r="75" spans="1:11" x14ac:dyDescent="0.45">
      <c r="A75" s="61" t="s">
        <v>964</v>
      </c>
      <c r="B75" s="48" t="s">
        <v>101</v>
      </c>
      <c r="C75" s="55" t="s">
        <v>965</v>
      </c>
      <c r="D75" s="62" t="s">
        <v>358</v>
      </c>
      <c r="E75" s="63" t="s">
        <v>827</v>
      </c>
      <c r="F75" s="63"/>
      <c r="G75" s="64"/>
      <c r="H75" s="47" t="str">
        <f t="shared" ca="1" si="1"/>
        <v/>
      </c>
      <c r="I75" s="63"/>
      <c r="J75" s="65">
        <f>IF(AND($D75="P1",$E75&lt;&gt;"Complete",$E75&lt;&gt;"N/A"),COUNTIFS($D$6:$D75,"P1",$E$6:$E75,"&lt;&gt;Complete",$E$6:$E75,"&lt;&gt;N/A"),"")</f>
        <v>32</v>
      </c>
      <c r="K75" s="65" t="str">
        <f>IF(AND($F75&lt;&gt;"",$F75='10. Owner View'!$C$4,$E75&lt;&gt;"Complete",$E75&lt;&gt;"N/A"),COUNTIFS($F$6:$F75,'10. Owner View'!$C$4,$E$6:$E75,"&lt;&gt;Complete",$E$6:$E75,"&lt;&gt;N/A"),"")</f>
        <v/>
      </c>
    </row>
    <row r="76" spans="1:11" x14ac:dyDescent="0.45">
      <c r="A76" s="61" t="s">
        <v>966</v>
      </c>
      <c r="B76" s="48" t="s">
        <v>101</v>
      </c>
      <c r="C76" s="55" t="s">
        <v>967</v>
      </c>
      <c r="D76" s="62" t="s">
        <v>402</v>
      </c>
      <c r="E76" s="63" t="s">
        <v>827</v>
      </c>
      <c r="F76" s="63"/>
      <c r="G76" s="64"/>
      <c r="H76" s="47" t="str">
        <f t="shared" ca="1" si="1"/>
        <v/>
      </c>
      <c r="I76" s="63"/>
      <c r="J76" s="65" t="str">
        <f>IF(AND($D76="P1",$E76&lt;&gt;"Complete",$E76&lt;&gt;"N/A"),COUNTIFS($D$6:$D76,"P1",$E$6:$E76,"&lt;&gt;Complete",$E$6:$E76,"&lt;&gt;N/A"),"")</f>
        <v/>
      </c>
      <c r="K76" s="65" t="str">
        <f>IF(AND($F76&lt;&gt;"",$F76='10. Owner View'!$C$4,$E76&lt;&gt;"Complete",$E76&lt;&gt;"N/A"),COUNTIFS($F$6:$F76,'10. Owner View'!$C$4,$E$6:$E76,"&lt;&gt;Complete",$E$6:$E76,"&lt;&gt;N/A"),"")</f>
        <v/>
      </c>
    </row>
    <row r="77" spans="1:11" x14ac:dyDescent="0.45">
      <c r="A77" s="61" t="s">
        <v>968</v>
      </c>
      <c r="B77" s="48" t="s">
        <v>101</v>
      </c>
      <c r="C77" s="55" t="s">
        <v>969</v>
      </c>
      <c r="D77" s="62" t="s">
        <v>402</v>
      </c>
      <c r="E77" s="63" t="s">
        <v>827</v>
      </c>
      <c r="F77" s="63"/>
      <c r="G77" s="64"/>
      <c r="H77" s="47" t="str">
        <f t="shared" ca="1" si="1"/>
        <v/>
      </c>
      <c r="I77" s="63"/>
      <c r="J77" s="65" t="str">
        <f>IF(AND($D77="P1",$E77&lt;&gt;"Complete",$E77&lt;&gt;"N/A"),COUNTIFS($D$6:$D77,"P1",$E$6:$E77,"&lt;&gt;Complete",$E$6:$E77,"&lt;&gt;N/A"),"")</f>
        <v/>
      </c>
      <c r="K77" s="65" t="str">
        <f>IF(AND($F77&lt;&gt;"",$F77='10. Owner View'!$C$4,$E77&lt;&gt;"Complete",$E77&lt;&gt;"N/A"),COUNTIFS($F$6:$F77,'10. Owner View'!$C$4,$E$6:$E77,"&lt;&gt;Complete",$E$6:$E77,"&lt;&gt;N/A"),"")</f>
        <v/>
      </c>
    </row>
    <row r="78" spans="1:11" x14ac:dyDescent="0.45">
      <c r="A78" s="61" t="s">
        <v>970</v>
      </c>
      <c r="B78" s="48" t="s">
        <v>101</v>
      </c>
      <c r="C78" s="55" t="s">
        <v>971</v>
      </c>
      <c r="D78" s="62" t="s">
        <v>402</v>
      </c>
      <c r="E78" s="63" t="s">
        <v>827</v>
      </c>
      <c r="F78" s="63"/>
      <c r="G78" s="64"/>
      <c r="H78" s="47" t="str">
        <f t="shared" ca="1" si="1"/>
        <v/>
      </c>
      <c r="I78" s="63"/>
      <c r="J78" s="65" t="str">
        <f>IF(AND($D78="P1",$E78&lt;&gt;"Complete",$E78&lt;&gt;"N/A"),COUNTIFS($D$6:$D78,"P1",$E$6:$E78,"&lt;&gt;Complete",$E$6:$E78,"&lt;&gt;N/A"),"")</f>
        <v/>
      </c>
      <c r="K78" s="65" t="str">
        <f>IF(AND($F78&lt;&gt;"",$F78='10. Owner View'!$C$4,$E78&lt;&gt;"Complete",$E78&lt;&gt;"N/A"),COUNTIFS($F$6:$F78,'10. Owner View'!$C$4,$E$6:$E78,"&lt;&gt;Complete",$E$6:$E78,"&lt;&gt;N/A"),"")</f>
        <v/>
      </c>
    </row>
    <row r="79" spans="1:11" x14ac:dyDescent="0.45">
      <c r="A79" s="61" t="s">
        <v>972</v>
      </c>
      <c r="B79" s="48" t="s">
        <v>101</v>
      </c>
      <c r="C79" s="55" t="s">
        <v>973</v>
      </c>
      <c r="D79" s="62" t="s">
        <v>358</v>
      </c>
      <c r="E79" s="63" t="s">
        <v>827</v>
      </c>
      <c r="F79" s="63"/>
      <c r="G79" s="64"/>
      <c r="H79" s="47" t="str">
        <f t="shared" ca="1" si="1"/>
        <v/>
      </c>
      <c r="I79" s="63"/>
      <c r="J79" s="65">
        <f>IF(AND($D79="P1",$E79&lt;&gt;"Complete",$E79&lt;&gt;"N/A"),COUNTIFS($D$6:$D79,"P1",$E$6:$E79,"&lt;&gt;Complete",$E$6:$E79,"&lt;&gt;N/A"),"")</f>
        <v>33</v>
      </c>
      <c r="K79" s="65" t="str">
        <f>IF(AND($F79&lt;&gt;"",$F79='10. Owner View'!$C$4,$E79&lt;&gt;"Complete",$E79&lt;&gt;"N/A"),COUNTIFS($F$6:$F79,'10. Owner View'!$C$4,$E$6:$E79,"&lt;&gt;Complete",$E$6:$E79,"&lt;&gt;N/A"),"")</f>
        <v/>
      </c>
    </row>
    <row r="80" spans="1:11" x14ac:dyDescent="0.45">
      <c r="A80" s="61" t="s">
        <v>974</v>
      </c>
      <c r="B80" s="48" t="s">
        <v>101</v>
      </c>
      <c r="C80" s="55" t="s">
        <v>975</v>
      </c>
      <c r="D80" s="62" t="s">
        <v>402</v>
      </c>
      <c r="E80" s="63" t="s">
        <v>827</v>
      </c>
      <c r="F80" s="63"/>
      <c r="G80" s="64"/>
      <c r="H80" s="47" t="str">
        <f t="shared" ca="1" si="1"/>
        <v/>
      </c>
      <c r="I80" s="63"/>
      <c r="J80" s="65" t="str">
        <f>IF(AND($D80="P1",$E80&lt;&gt;"Complete",$E80&lt;&gt;"N/A"),COUNTIFS($D$6:$D80,"P1",$E$6:$E80,"&lt;&gt;Complete",$E$6:$E80,"&lt;&gt;N/A"),"")</f>
        <v/>
      </c>
      <c r="K80" s="65" t="str">
        <f>IF(AND($F80&lt;&gt;"",$F80='10. Owner View'!$C$4,$E80&lt;&gt;"Complete",$E80&lt;&gt;"N/A"),COUNTIFS($F$6:$F80,'10. Owner View'!$C$4,$E$6:$E80,"&lt;&gt;Complete",$E$6:$E80,"&lt;&gt;N/A"),"")</f>
        <v/>
      </c>
    </row>
    <row r="81" spans="1:11" x14ac:dyDescent="0.45">
      <c r="A81" s="61" t="s">
        <v>976</v>
      </c>
      <c r="B81" s="48" t="s">
        <v>101</v>
      </c>
      <c r="C81" s="55" t="s">
        <v>977</v>
      </c>
      <c r="D81" s="62" t="s">
        <v>402</v>
      </c>
      <c r="E81" s="63" t="s">
        <v>827</v>
      </c>
      <c r="F81" s="63"/>
      <c r="G81" s="64"/>
      <c r="H81" s="47" t="str">
        <f t="shared" ca="1" si="1"/>
        <v/>
      </c>
      <c r="I81" s="63"/>
      <c r="J81" s="65" t="str">
        <f>IF(AND($D81="P1",$E81&lt;&gt;"Complete",$E81&lt;&gt;"N/A"),COUNTIFS($D$6:$D81,"P1",$E$6:$E81,"&lt;&gt;Complete",$E$6:$E81,"&lt;&gt;N/A"),"")</f>
        <v/>
      </c>
      <c r="K81" s="65" t="str">
        <f>IF(AND($F81&lt;&gt;"",$F81='10. Owner View'!$C$4,$E81&lt;&gt;"Complete",$E81&lt;&gt;"N/A"),COUNTIFS($F$6:$F81,'10. Owner View'!$C$4,$E$6:$E81,"&lt;&gt;Complete",$E$6:$E81,"&lt;&gt;N/A"),"")</f>
        <v/>
      </c>
    </row>
    <row r="82" spans="1:11" x14ac:dyDescent="0.45">
      <c r="A82" s="61" t="s">
        <v>978</v>
      </c>
      <c r="B82" s="48" t="s">
        <v>101</v>
      </c>
      <c r="C82" s="55" t="s">
        <v>979</v>
      </c>
      <c r="D82" s="62" t="s">
        <v>468</v>
      </c>
      <c r="E82" s="63" t="s">
        <v>827</v>
      </c>
      <c r="F82" s="63"/>
      <c r="G82" s="64"/>
      <c r="H82" s="47" t="str">
        <f t="shared" ca="1" si="1"/>
        <v/>
      </c>
      <c r="I82" s="63"/>
      <c r="J82" s="65" t="str">
        <f>IF(AND($D82="P1",$E82&lt;&gt;"Complete",$E82&lt;&gt;"N/A"),COUNTIFS($D$6:$D82,"P1",$E$6:$E82,"&lt;&gt;Complete",$E$6:$E82,"&lt;&gt;N/A"),"")</f>
        <v/>
      </c>
      <c r="K82" s="65" t="str">
        <f>IF(AND($F82&lt;&gt;"",$F82='10. Owner View'!$C$4,$E82&lt;&gt;"Complete",$E82&lt;&gt;"N/A"),COUNTIFS($F$6:$F82,'10. Owner View'!$C$4,$E$6:$E82,"&lt;&gt;Complete",$E$6:$E82,"&lt;&gt;N/A"),"")</f>
        <v/>
      </c>
    </row>
    <row r="83" spans="1:11" x14ac:dyDescent="0.45">
      <c r="A83" s="61" t="s">
        <v>980</v>
      </c>
      <c r="B83" s="48" t="s">
        <v>101</v>
      </c>
      <c r="C83" s="55" t="s">
        <v>981</v>
      </c>
      <c r="D83" s="62" t="s">
        <v>358</v>
      </c>
      <c r="E83" s="63" t="s">
        <v>827</v>
      </c>
      <c r="F83" s="63"/>
      <c r="G83" s="64"/>
      <c r="H83" s="47" t="str">
        <f t="shared" ca="1" si="1"/>
        <v/>
      </c>
      <c r="I83" s="63"/>
      <c r="J83" s="65">
        <f>IF(AND($D83="P1",$E83&lt;&gt;"Complete",$E83&lt;&gt;"N/A"),COUNTIFS($D$6:$D83,"P1",$E$6:$E83,"&lt;&gt;Complete",$E$6:$E83,"&lt;&gt;N/A"),"")</f>
        <v>34</v>
      </c>
      <c r="K83" s="65" t="str">
        <f>IF(AND($F83&lt;&gt;"",$F83='10. Owner View'!$C$4,$E83&lt;&gt;"Complete",$E83&lt;&gt;"N/A"),COUNTIFS($F$6:$F83,'10. Owner View'!$C$4,$E$6:$E83,"&lt;&gt;Complete",$E$6:$E83,"&lt;&gt;N/A"),"")</f>
        <v/>
      </c>
    </row>
    <row r="84" spans="1:11" x14ac:dyDescent="0.45">
      <c r="A84" s="61" t="s">
        <v>982</v>
      </c>
      <c r="B84" s="48" t="s">
        <v>101</v>
      </c>
      <c r="C84" s="55" t="s">
        <v>983</v>
      </c>
      <c r="D84" s="62" t="s">
        <v>402</v>
      </c>
      <c r="E84" s="63" t="s">
        <v>827</v>
      </c>
      <c r="F84" s="63"/>
      <c r="G84" s="64"/>
      <c r="H84" s="47" t="str">
        <f t="shared" ca="1" si="1"/>
        <v/>
      </c>
      <c r="I84" s="63"/>
      <c r="J84" s="65" t="str">
        <f>IF(AND($D84="P1",$E84&lt;&gt;"Complete",$E84&lt;&gt;"N/A"),COUNTIFS($D$6:$D84,"P1",$E$6:$E84,"&lt;&gt;Complete",$E$6:$E84,"&lt;&gt;N/A"),"")</f>
        <v/>
      </c>
      <c r="K84" s="65" t="str">
        <f>IF(AND($F84&lt;&gt;"",$F84='10. Owner View'!$C$4,$E84&lt;&gt;"Complete",$E84&lt;&gt;"N/A"),COUNTIFS($F$6:$F84,'10. Owner View'!$C$4,$E$6:$E84,"&lt;&gt;Complete",$E$6:$E84,"&lt;&gt;N/A"),"")</f>
        <v/>
      </c>
    </row>
    <row r="85" spans="1:11" x14ac:dyDescent="0.45">
      <c r="A85" s="61" t="s">
        <v>984</v>
      </c>
      <c r="B85" s="48" t="s">
        <v>101</v>
      </c>
      <c r="C85" s="55" t="s">
        <v>985</v>
      </c>
      <c r="D85" s="62" t="s">
        <v>358</v>
      </c>
      <c r="E85" s="63" t="s">
        <v>827</v>
      </c>
      <c r="F85" s="63"/>
      <c r="G85" s="64"/>
      <c r="H85" s="47" t="str">
        <f t="shared" ca="1" si="1"/>
        <v/>
      </c>
      <c r="I85" s="63"/>
      <c r="J85" s="65">
        <f>IF(AND($D85="P1",$E85&lt;&gt;"Complete",$E85&lt;&gt;"N/A"),COUNTIFS($D$6:$D85,"P1",$E$6:$E85,"&lt;&gt;Complete",$E$6:$E85,"&lt;&gt;N/A"),"")</f>
        <v>35</v>
      </c>
      <c r="K85" s="65" t="str">
        <f>IF(AND($F85&lt;&gt;"",$F85='10. Owner View'!$C$4,$E85&lt;&gt;"Complete",$E85&lt;&gt;"N/A"),COUNTIFS($F$6:$F85,'10. Owner View'!$C$4,$E$6:$E85,"&lt;&gt;Complete",$E$6:$E85,"&lt;&gt;N/A"),"")</f>
        <v/>
      </c>
    </row>
    <row r="86" spans="1:11" x14ac:dyDescent="0.45">
      <c r="A86" s="61" t="s">
        <v>986</v>
      </c>
      <c r="B86" s="48" t="s">
        <v>102</v>
      </c>
      <c r="C86" s="55" t="s">
        <v>987</v>
      </c>
      <c r="D86" s="62" t="s">
        <v>358</v>
      </c>
      <c r="E86" s="63" t="s">
        <v>827</v>
      </c>
      <c r="F86" s="63"/>
      <c r="G86" s="64"/>
      <c r="H86" s="47" t="str">
        <f t="shared" ca="1" si="1"/>
        <v/>
      </c>
      <c r="I86" s="63"/>
      <c r="J86" s="65">
        <f>IF(AND($D86="P1",$E86&lt;&gt;"Complete",$E86&lt;&gt;"N/A"),COUNTIFS($D$6:$D86,"P1",$E$6:$E86,"&lt;&gt;Complete",$E$6:$E86,"&lt;&gt;N/A"),"")</f>
        <v>36</v>
      </c>
      <c r="K86" s="65" t="str">
        <f>IF(AND($F86&lt;&gt;"",$F86='10. Owner View'!$C$4,$E86&lt;&gt;"Complete",$E86&lt;&gt;"N/A"),COUNTIFS($F$6:$F86,'10. Owner View'!$C$4,$E$6:$E86,"&lt;&gt;Complete",$E$6:$E86,"&lt;&gt;N/A"),"")</f>
        <v/>
      </c>
    </row>
    <row r="87" spans="1:11" x14ac:dyDescent="0.45">
      <c r="A87" s="61" t="s">
        <v>988</v>
      </c>
      <c r="B87" s="48" t="s">
        <v>102</v>
      </c>
      <c r="C87" s="55" t="s">
        <v>989</v>
      </c>
      <c r="D87" s="62" t="s">
        <v>402</v>
      </c>
      <c r="E87" s="63" t="s">
        <v>827</v>
      </c>
      <c r="F87" s="63"/>
      <c r="G87" s="64"/>
      <c r="H87" s="47" t="str">
        <f t="shared" ca="1" si="1"/>
        <v/>
      </c>
      <c r="I87" s="63"/>
      <c r="J87" s="65" t="str">
        <f>IF(AND($D87="P1",$E87&lt;&gt;"Complete",$E87&lt;&gt;"N/A"),COUNTIFS($D$6:$D87,"P1",$E$6:$E87,"&lt;&gt;Complete",$E$6:$E87,"&lt;&gt;N/A"),"")</f>
        <v/>
      </c>
      <c r="K87" s="65" t="str">
        <f>IF(AND($F87&lt;&gt;"",$F87='10. Owner View'!$C$4,$E87&lt;&gt;"Complete",$E87&lt;&gt;"N/A"),COUNTIFS($F$6:$F87,'10. Owner View'!$C$4,$E$6:$E87,"&lt;&gt;Complete",$E$6:$E87,"&lt;&gt;N/A"),"")</f>
        <v/>
      </c>
    </row>
    <row r="88" spans="1:11" x14ac:dyDescent="0.45">
      <c r="A88" s="61" t="s">
        <v>990</v>
      </c>
      <c r="B88" s="48" t="s">
        <v>102</v>
      </c>
      <c r="C88" s="55" t="s">
        <v>991</v>
      </c>
      <c r="D88" s="62" t="s">
        <v>402</v>
      </c>
      <c r="E88" s="63" t="s">
        <v>827</v>
      </c>
      <c r="F88" s="63"/>
      <c r="G88" s="64"/>
      <c r="H88" s="47" t="str">
        <f t="shared" ca="1" si="1"/>
        <v/>
      </c>
      <c r="I88" s="63"/>
      <c r="J88" s="65" t="str">
        <f>IF(AND($D88="P1",$E88&lt;&gt;"Complete",$E88&lt;&gt;"N/A"),COUNTIFS($D$6:$D88,"P1",$E$6:$E88,"&lt;&gt;Complete",$E$6:$E88,"&lt;&gt;N/A"),"")</f>
        <v/>
      </c>
      <c r="K88" s="65" t="str">
        <f>IF(AND($F88&lt;&gt;"",$F88='10. Owner View'!$C$4,$E88&lt;&gt;"Complete",$E88&lt;&gt;"N/A"),COUNTIFS($F$6:$F88,'10. Owner View'!$C$4,$E$6:$E88,"&lt;&gt;Complete",$E$6:$E88,"&lt;&gt;N/A"),"")</f>
        <v/>
      </c>
    </row>
    <row r="89" spans="1:11" x14ac:dyDescent="0.45">
      <c r="A89" s="61" t="s">
        <v>992</v>
      </c>
      <c r="B89" s="48" t="s">
        <v>102</v>
      </c>
      <c r="C89" s="55" t="s">
        <v>993</v>
      </c>
      <c r="D89" s="62" t="s">
        <v>358</v>
      </c>
      <c r="E89" s="63" t="s">
        <v>827</v>
      </c>
      <c r="F89" s="63"/>
      <c r="G89" s="64"/>
      <c r="H89" s="47" t="str">
        <f t="shared" ca="1" si="1"/>
        <v/>
      </c>
      <c r="I89" s="63"/>
      <c r="J89" s="65">
        <f>IF(AND($D89="P1",$E89&lt;&gt;"Complete",$E89&lt;&gt;"N/A"),COUNTIFS($D$6:$D89,"P1",$E$6:$E89,"&lt;&gt;Complete",$E$6:$E89,"&lt;&gt;N/A"),"")</f>
        <v>37</v>
      </c>
      <c r="K89" s="65" t="str">
        <f>IF(AND($F89&lt;&gt;"",$F89='10. Owner View'!$C$4,$E89&lt;&gt;"Complete",$E89&lt;&gt;"N/A"),COUNTIFS($F$6:$F89,'10. Owner View'!$C$4,$E$6:$E89,"&lt;&gt;Complete",$E$6:$E89,"&lt;&gt;N/A"),"")</f>
        <v/>
      </c>
    </row>
    <row r="90" spans="1:11" x14ac:dyDescent="0.45">
      <c r="A90" s="61" t="s">
        <v>994</v>
      </c>
      <c r="B90" s="48" t="s">
        <v>102</v>
      </c>
      <c r="C90" s="55" t="s">
        <v>995</v>
      </c>
      <c r="D90" s="62" t="s">
        <v>402</v>
      </c>
      <c r="E90" s="63" t="s">
        <v>827</v>
      </c>
      <c r="F90" s="63"/>
      <c r="G90" s="64"/>
      <c r="H90" s="47" t="str">
        <f t="shared" ca="1" si="1"/>
        <v/>
      </c>
      <c r="I90" s="63"/>
      <c r="J90" s="65" t="str">
        <f>IF(AND($D90="P1",$E90&lt;&gt;"Complete",$E90&lt;&gt;"N/A"),COUNTIFS($D$6:$D90,"P1",$E$6:$E90,"&lt;&gt;Complete",$E$6:$E90,"&lt;&gt;N/A"),"")</f>
        <v/>
      </c>
      <c r="K90" s="65" t="str">
        <f>IF(AND($F90&lt;&gt;"",$F90='10. Owner View'!$C$4,$E90&lt;&gt;"Complete",$E90&lt;&gt;"N/A"),COUNTIFS($F$6:$F90,'10. Owner View'!$C$4,$E$6:$E90,"&lt;&gt;Complete",$E$6:$E90,"&lt;&gt;N/A"),"")</f>
        <v/>
      </c>
    </row>
    <row r="91" spans="1:11" x14ac:dyDescent="0.45">
      <c r="A91" s="61" t="s">
        <v>996</v>
      </c>
      <c r="B91" s="48" t="s">
        <v>102</v>
      </c>
      <c r="C91" s="55" t="s">
        <v>997</v>
      </c>
      <c r="D91" s="62" t="s">
        <v>402</v>
      </c>
      <c r="E91" s="63" t="s">
        <v>827</v>
      </c>
      <c r="F91" s="63"/>
      <c r="G91" s="64"/>
      <c r="H91" s="47" t="str">
        <f t="shared" ca="1" si="1"/>
        <v/>
      </c>
      <c r="I91" s="63"/>
      <c r="J91" s="65" t="str">
        <f>IF(AND($D91="P1",$E91&lt;&gt;"Complete",$E91&lt;&gt;"N/A"),COUNTIFS($D$6:$D91,"P1",$E$6:$E91,"&lt;&gt;Complete",$E$6:$E91,"&lt;&gt;N/A"),"")</f>
        <v/>
      </c>
      <c r="K91" s="65" t="str">
        <f>IF(AND($F91&lt;&gt;"",$F91='10. Owner View'!$C$4,$E91&lt;&gt;"Complete",$E91&lt;&gt;"N/A"),COUNTIFS($F$6:$F91,'10. Owner View'!$C$4,$E$6:$E91,"&lt;&gt;Complete",$E$6:$E91,"&lt;&gt;N/A"),"")</f>
        <v/>
      </c>
    </row>
    <row r="92" spans="1:11" x14ac:dyDescent="0.45">
      <c r="A92" s="61" t="s">
        <v>998</v>
      </c>
      <c r="B92" s="48" t="s">
        <v>102</v>
      </c>
      <c r="C92" s="55" t="s">
        <v>999</v>
      </c>
      <c r="D92" s="62" t="s">
        <v>402</v>
      </c>
      <c r="E92" s="63" t="s">
        <v>827</v>
      </c>
      <c r="F92" s="63"/>
      <c r="G92" s="64"/>
      <c r="H92" s="47" t="str">
        <f t="shared" ca="1" si="1"/>
        <v/>
      </c>
      <c r="I92" s="63"/>
      <c r="J92" s="65" t="str">
        <f>IF(AND($D92="P1",$E92&lt;&gt;"Complete",$E92&lt;&gt;"N/A"),COUNTIFS($D$6:$D92,"P1",$E$6:$E92,"&lt;&gt;Complete",$E$6:$E92,"&lt;&gt;N/A"),"")</f>
        <v/>
      </c>
      <c r="K92" s="65" t="str">
        <f>IF(AND($F92&lt;&gt;"",$F92='10. Owner View'!$C$4,$E92&lt;&gt;"Complete",$E92&lt;&gt;"N/A"),COUNTIFS($F$6:$F92,'10. Owner View'!$C$4,$E$6:$E92,"&lt;&gt;Complete",$E$6:$E92,"&lt;&gt;N/A"),"")</f>
        <v/>
      </c>
    </row>
    <row r="93" spans="1:11" x14ac:dyDescent="0.45">
      <c r="A93" s="61" t="s">
        <v>1000</v>
      </c>
      <c r="B93" s="48" t="s">
        <v>102</v>
      </c>
      <c r="C93" s="55" t="s">
        <v>1001</v>
      </c>
      <c r="D93" s="62" t="s">
        <v>402</v>
      </c>
      <c r="E93" s="63" t="s">
        <v>827</v>
      </c>
      <c r="F93" s="63"/>
      <c r="G93" s="64"/>
      <c r="H93" s="47" t="str">
        <f t="shared" ca="1" si="1"/>
        <v/>
      </c>
      <c r="I93" s="63"/>
      <c r="J93" s="65" t="str">
        <f>IF(AND($D93="P1",$E93&lt;&gt;"Complete",$E93&lt;&gt;"N/A"),COUNTIFS($D$6:$D93,"P1",$E$6:$E93,"&lt;&gt;Complete",$E$6:$E93,"&lt;&gt;N/A"),"")</f>
        <v/>
      </c>
      <c r="K93" s="65" t="str">
        <f>IF(AND($F93&lt;&gt;"",$F93='10. Owner View'!$C$4,$E93&lt;&gt;"Complete",$E93&lt;&gt;"N/A"),COUNTIFS($F$6:$F93,'10. Owner View'!$C$4,$E$6:$E93,"&lt;&gt;Complete",$E$6:$E93,"&lt;&gt;N/A"),"")</f>
        <v/>
      </c>
    </row>
    <row r="94" spans="1:11" x14ac:dyDescent="0.45">
      <c r="A94" s="61" t="s">
        <v>1002</v>
      </c>
      <c r="B94" s="48" t="s">
        <v>102</v>
      </c>
      <c r="C94" s="55" t="s">
        <v>1003</v>
      </c>
      <c r="D94" s="62" t="s">
        <v>402</v>
      </c>
      <c r="E94" s="63" t="s">
        <v>827</v>
      </c>
      <c r="F94" s="63"/>
      <c r="G94" s="64"/>
      <c r="H94" s="47" t="str">
        <f t="shared" ca="1" si="1"/>
        <v/>
      </c>
      <c r="I94" s="63"/>
      <c r="J94" s="65" t="str">
        <f>IF(AND($D94="P1",$E94&lt;&gt;"Complete",$E94&lt;&gt;"N/A"),COUNTIFS($D$6:$D94,"P1",$E$6:$E94,"&lt;&gt;Complete",$E$6:$E94,"&lt;&gt;N/A"),"")</f>
        <v/>
      </c>
      <c r="K94" s="65" t="str">
        <f>IF(AND($F94&lt;&gt;"",$F94='10. Owner View'!$C$4,$E94&lt;&gt;"Complete",$E94&lt;&gt;"N/A"),COUNTIFS($F$6:$F94,'10. Owner View'!$C$4,$E$6:$E94,"&lt;&gt;Complete",$E$6:$E94,"&lt;&gt;N/A"),"")</f>
        <v/>
      </c>
    </row>
    <row r="95" spans="1:11" x14ac:dyDescent="0.45">
      <c r="A95" s="61" t="s">
        <v>1004</v>
      </c>
      <c r="B95" s="48" t="s">
        <v>102</v>
      </c>
      <c r="C95" s="55" t="s">
        <v>1005</v>
      </c>
      <c r="D95" s="62" t="s">
        <v>468</v>
      </c>
      <c r="E95" s="63" t="s">
        <v>827</v>
      </c>
      <c r="F95" s="63"/>
      <c r="G95" s="64"/>
      <c r="H95" s="47" t="str">
        <f t="shared" ca="1" si="1"/>
        <v/>
      </c>
      <c r="I95" s="63"/>
      <c r="J95" s="65" t="str">
        <f>IF(AND($D95="P1",$E95&lt;&gt;"Complete",$E95&lt;&gt;"N/A"),COUNTIFS($D$6:$D95,"P1",$E$6:$E95,"&lt;&gt;Complete",$E$6:$E95,"&lt;&gt;N/A"),"")</f>
        <v/>
      </c>
      <c r="K95" s="65" t="str">
        <f>IF(AND($F95&lt;&gt;"",$F95='10. Owner View'!$C$4,$E95&lt;&gt;"Complete",$E95&lt;&gt;"N/A"),COUNTIFS($F$6:$F95,'10. Owner View'!$C$4,$E$6:$E95,"&lt;&gt;Complete",$E$6:$E95,"&lt;&gt;N/A"),"")</f>
        <v/>
      </c>
    </row>
    <row r="96" spans="1:11" x14ac:dyDescent="0.45">
      <c r="A96" s="61" t="s">
        <v>1006</v>
      </c>
      <c r="B96" s="48" t="s">
        <v>102</v>
      </c>
      <c r="C96" s="55" t="s">
        <v>1007</v>
      </c>
      <c r="D96" s="62" t="s">
        <v>468</v>
      </c>
      <c r="E96" s="63" t="s">
        <v>827</v>
      </c>
      <c r="F96" s="63"/>
      <c r="G96" s="64"/>
      <c r="H96" s="47" t="str">
        <f t="shared" ca="1" si="1"/>
        <v/>
      </c>
      <c r="I96" s="63"/>
      <c r="J96" s="65" t="str">
        <f>IF(AND($D96="P1",$E96&lt;&gt;"Complete",$E96&lt;&gt;"N/A"),COUNTIFS($D$6:$D96,"P1",$E$6:$E96,"&lt;&gt;Complete",$E$6:$E96,"&lt;&gt;N/A"),"")</f>
        <v/>
      </c>
      <c r="K96" s="65" t="str">
        <f>IF(AND($F96&lt;&gt;"",$F96='10. Owner View'!$C$4,$E96&lt;&gt;"Complete",$E96&lt;&gt;"N/A"),COUNTIFS($F$6:$F96,'10. Owner View'!$C$4,$E$6:$E96,"&lt;&gt;Complete",$E$6:$E96,"&lt;&gt;N/A"),"")</f>
        <v/>
      </c>
    </row>
    <row r="97" spans="1:11" x14ac:dyDescent="0.45">
      <c r="A97" s="61" t="s">
        <v>1008</v>
      </c>
      <c r="B97" s="48" t="s">
        <v>102</v>
      </c>
      <c r="C97" s="55" t="s">
        <v>1009</v>
      </c>
      <c r="D97" s="62" t="s">
        <v>402</v>
      </c>
      <c r="E97" s="63" t="s">
        <v>827</v>
      </c>
      <c r="F97" s="63"/>
      <c r="G97" s="64"/>
      <c r="H97" s="47" t="str">
        <f t="shared" ca="1" si="1"/>
        <v/>
      </c>
      <c r="I97" s="63"/>
      <c r="J97" s="65" t="str">
        <f>IF(AND($D97="P1",$E97&lt;&gt;"Complete",$E97&lt;&gt;"N/A"),COUNTIFS($D$6:$D97,"P1",$E$6:$E97,"&lt;&gt;Complete",$E$6:$E97,"&lt;&gt;N/A"),"")</f>
        <v/>
      </c>
      <c r="K97" s="65" t="str">
        <f>IF(AND($F97&lt;&gt;"",$F97='10. Owner View'!$C$4,$E97&lt;&gt;"Complete",$E97&lt;&gt;"N/A"),COUNTIFS($F$6:$F97,'10. Owner View'!$C$4,$E$6:$E97,"&lt;&gt;Complete",$E$6:$E97,"&lt;&gt;N/A"),"")</f>
        <v/>
      </c>
    </row>
    <row r="98" spans="1:11" x14ac:dyDescent="0.45">
      <c r="A98" s="61" t="s">
        <v>1010</v>
      </c>
      <c r="B98" s="48" t="s">
        <v>102</v>
      </c>
      <c r="C98" s="55" t="s">
        <v>1011</v>
      </c>
      <c r="D98" s="62" t="s">
        <v>402</v>
      </c>
      <c r="E98" s="63" t="s">
        <v>827</v>
      </c>
      <c r="F98" s="63"/>
      <c r="G98" s="64"/>
      <c r="H98" s="47" t="str">
        <f t="shared" ca="1" si="1"/>
        <v/>
      </c>
      <c r="I98" s="63"/>
      <c r="J98" s="65" t="str">
        <f>IF(AND($D98="P1",$E98&lt;&gt;"Complete",$E98&lt;&gt;"N/A"),COUNTIFS($D$6:$D98,"P1",$E$6:$E98,"&lt;&gt;Complete",$E$6:$E98,"&lt;&gt;N/A"),"")</f>
        <v/>
      </c>
      <c r="K98" s="65" t="str">
        <f>IF(AND($F98&lt;&gt;"",$F98='10. Owner View'!$C$4,$E98&lt;&gt;"Complete",$E98&lt;&gt;"N/A"),COUNTIFS($F$6:$F98,'10. Owner View'!$C$4,$E$6:$E98,"&lt;&gt;Complete",$E$6:$E98,"&lt;&gt;N/A"),"")</f>
        <v/>
      </c>
    </row>
    <row r="99" spans="1:11" x14ac:dyDescent="0.45">
      <c r="A99" s="61" t="s">
        <v>1012</v>
      </c>
      <c r="B99" s="48" t="s">
        <v>102</v>
      </c>
      <c r="C99" s="55" t="s">
        <v>1013</v>
      </c>
      <c r="D99" s="62" t="s">
        <v>402</v>
      </c>
      <c r="E99" s="63" t="s">
        <v>827</v>
      </c>
      <c r="F99" s="63"/>
      <c r="G99" s="64"/>
      <c r="H99" s="47" t="str">
        <f t="shared" ca="1" si="1"/>
        <v/>
      </c>
      <c r="I99" s="63"/>
      <c r="J99" s="65" t="str">
        <f>IF(AND($D99="P1",$E99&lt;&gt;"Complete",$E99&lt;&gt;"N/A"),COUNTIFS($D$6:$D99,"P1",$E$6:$E99,"&lt;&gt;Complete",$E$6:$E99,"&lt;&gt;N/A"),"")</f>
        <v/>
      </c>
      <c r="K99" s="65" t="str">
        <f>IF(AND($F99&lt;&gt;"",$F99='10. Owner View'!$C$4,$E99&lt;&gt;"Complete",$E99&lt;&gt;"N/A"),COUNTIFS($F$6:$F99,'10. Owner View'!$C$4,$E$6:$E99,"&lt;&gt;Complete",$E$6:$E99,"&lt;&gt;N/A"),"")</f>
        <v/>
      </c>
    </row>
    <row r="100" spans="1:11" x14ac:dyDescent="0.45">
      <c r="A100" s="61" t="s">
        <v>1014</v>
      </c>
      <c r="B100" s="48" t="s">
        <v>102</v>
      </c>
      <c r="C100" s="55" t="s">
        <v>1015</v>
      </c>
      <c r="D100" s="62" t="s">
        <v>402</v>
      </c>
      <c r="E100" s="63" t="s">
        <v>827</v>
      </c>
      <c r="F100" s="63"/>
      <c r="G100" s="64"/>
      <c r="H100" s="47" t="str">
        <f t="shared" ca="1" si="1"/>
        <v/>
      </c>
      <c r="I100" s="63"/>
      <c r="J100" s="65" t="str">
        <f>IF(AND($D100="P1",$E100&lt;&gt;"Complete",$E100&lt;&gt;"N/A"),COUNTIFS($D$6:$D100,"P1",$E$6:$E100,"&lt;&gt;Complete",$E$6:$E100,"&lt;&gt;N/A"),"")</f>
        <v/>
      </c>
      <c r="K100" s="65" t="str">
        <f>IF(AND($F100&lt;&gt;"",$F100='10. Owner View'!$C$4,$E100&lt;&gt;"Complete",$E100&lt;&gt;"N/A"),COUNTIFS($F$6:$F100,'10. Owner View'!$C$4,$E$6:$E100,"&lt;&gt;Complete",$E$6:$E100,"&lt;&gt;N/A"),"")</f>
        <v/>
      </c>
    </row>
    <row r="101" spans="1:11" x14ac:dyDescent="0.45">
      <c r="A101" s="61" t="s">
        <v>1016</v>
      </c>
      <c r="B101" s="48" t="s">
        <v>102</v>
      </c>
      <c r="C101" s="55" t="s">
        <v>1017</v>
      </c>
      <c r="D101" s="62" t="s">
        <v>358</v>
      </c>
      <c r="E101" s="63" t="s">
        <v>827</v>
      </c>
      <c r="F101" s="63"/>
      <c r="G101" s="64"/>
      <c r="H101" s="47" t="str">
        <f t="shared" ca="1" si="1"/>
        <v/>
      </c>
      <c r="I101" s="63"/>
      <c r="J101" s="65">
        <f>IF(AND($D101="P1",$E101&lt;&gt;"Complete",$E101&lt;&gt;"N/A"),COUNTIFS($D$6:$D101,"P1",$E$6:$E101,"&lt;&gt;Complete",$E$6:$E101,"&lt;&gt;N/A"),"")</f>
        <v>38</v>
      </c>
      <c r="K101" s="65" t="str">
        <f>IF(AND($F101&lt;&gt;"",$F101='10. Owner View'!$C$4,$E101&lt;&gt;"Complete",$E101&lt;&gt;"N/A"),COUNTIFS($F$6:$F101,'10. Owner View'!$C$4,$E$6:$E101,"&lt;&gt;Complete",$E$6:$E101,"&lt;&gt;N/A"),"")</f>
        <v/>
      </c>
    </row>
    <row r="102" spans="1:11" x14ac:dyDescent="0.45">
      <c r="A102" s="61" t="s">
        <v>1018</v>
      </c>
      <c r="B102" s="48" t="s">
        <v>102</v>
      </c>
      <c r="C102" s="55" t="s">
        <v>1019</v>
      </c>
      <c r="D102" s="62" t="s">
        <v>468</v>
      </c>
      <c r="E102" s="63" t="s">
        <v>827</v>
      </c>
      <c r="F102" s="63"/>
      <c r="G102" s="64"/>
      <c r="H102" s="47" t="str">
        <f t="shared" ca="1" si="1"/>
        <v/>
      </c>
      <c r="I102" s="63"/>
      <c r="J102" s="65" t="str">
        <f>IF(AND($D102="P1",$E102&lt;&gt;"Complete",$E102&lt;&gt;"N/A"),COUNTIFS($D$6:$D102,"P1",$E$6:$E102,"&lt;&gt;Complete",$E$6:$E102,"&lt;&gt;N/A"),"")</f>
        <v/>
      </c>
      <c r="K102" s="65" t="str">
        <f>IF(AND($F102&lt;&gt;"",$F102='10. Owner View'!$C$4,$E102&lt;&gt;"Complete",$E102&lt;&gt;"N/A"),COUNTIFS($F$6:$F102,'10. Owner View'!$C$4,$E$6:$E102,"&lt;&gt;Complete",$E$6:$E102,"&lt;&gt;N/A"),"")</f>
        <v/>
      </c>
    </row>
    <row r="103" spans="1:11" x14ac:dyDescent="0.45">
      <c r="A103" s="61" t="s">
        <v>1020</v>
      </c>
      <c r="B103" s="48" t="s">
        <v>102</v>
      </c>
      <c r="C103" s="55" t="s">
        <v>1021</v>
      </c>
      <c r="D103" s="62" t="s">
        <v>468</v>
      </c>
      <c r="E103" s="63" t="s">
        <v>827</v>
      </c>
      <c r="F103" s="63"/>
      <c r="G103" s="64"/>
      <c r="H103" s="47" t="str">
        <f t="shared" ca="1" si="1"/>
        <v/>
      </c>
      <c r="I103" s="63"/>
      <c r="J103" s="65" t="str">
        <f>IF(AND($D103="P1",$E103&lt;&gt;"Complete",$E103&lt;&gt;"N/A"),COUNTIFS($D$6:$D103,"P1",$E$6:$E103,"&lt;&gt;Complete",$E$6:$E103,"&lt;&gt;N/A"),"")</f>
        <v/>
      </c>
      <c r="K103" s="65" t="str">
        <f>IF(AND($F103&lt;&gt;"",$F103='10. Owner View'!$C$4,$E103&lt;&gt;"Complete",$E103&lt;&gt;"N/A"),COUNTIFS($F$6:$F103,'10. Owner View'!$C$4,$E$6:$E103,"&lt;&gt;Complete",$E$6:$E103,"&lt;&gt;N/A"),"")</f>
        <v/>
      </c>
    </row>
    <row r="104" spans="1:11" x14ac:dyDescent="0.45">
      <c r="A104" s="61" t="s">
        <v>1022</v>
      </c>
      <c r="B104" s="48" t="s">
        <v>102</v>
      </c>
      <c r="C104" s="55" t="s">
        <v>1023</v>
      </c>
      <c r="D104" s="62" t="s">
        <v>402</v>
      </c>
      <c r="E104" s="63" t="s">
        <v>827</v>
      </c>
      <c r="F104" s="63"/>
      <c r="G104" s="64"/>
      <c r="H104" s="47" t="str">
        <f t="shared" ca="1" si="1"/>
        <v/>
      </c>
      <c r="I104" s="63"/>
      <c r="J104" s="65" t="str">
        <f>IF(AND($D104="P1",$E104&lt;&gt;"Complete",$E104&lt;&gt;"N/A"),COUNTIFS($D$6:$D104,"P1",$E$6:$E104,"&lt;&gt;Complete",$E$6:$E104,"&lt;&gt;N/A"),"")</f>
        <v/>
      </c>
      <c r="K104" s="65" t="str">
        <f>IF(AND($F104&lt;&gt;"",$F104='10. Owner View'!$C$4,$E104&lt;&gt;"Complete",$E104&lt;&gt;"N/A"),COUNTIFS($F$6:$F104,'10. Owner View'!$C$4,$E$6:$E104,"&lt;&gt;Complete",$E$6:$E104,"&lt;&gt;N/A"),"")</f>
        <v/>
      </c>
    </row>
    <row r="105" spans="1:11" x14ac:dyDescent="0.45">
      <c r="A105" s="61" t="s">
        <v>1024</v>
      </c>
      <c r="B105" s="48" t="s">
        <v>102</v>
      </c>
      <c r="C105" s="55" t="s">
        <v>1025</v>
      </c>
      <c r="D105" s="62" t="s">
        <v>468</v>
      </c>
      <c r="E105" s="63" t="s">
        <v>827</v>
      </c>
      <c r="F105" s="63"/>
      <c r="G105" s="64"/>
      <c r="H105" s="47" t="str">
        <f t="shared" ca="1" si="1"/>
        <v/>
      </c>
      <c r="I105" s="63"/>
      <c r="J105" s="65" t="str">
        <f>IF(AND($D105="P1",$E105&lt;&gt;"Complete",$E105&lt;&gt;"N/A"),COUNTIFS($D$6:$D105,"P1",$E$6:$E105,"&lt;&gt;Complete",$E$6:$E105,"&lt;&gt;N/A"),"")</f>
        <v/>
      </c>
      <c r="K105" s="65" t="str">
        <f>IF(AND($F105&lt;&gt;"",$F105='10. Owner View'!$C$4,$E105&lt;&gt;"Complete",$E105&lt;&gt;"N/A"),COUNTIFS($F$6:$F105,'10. Owner View'!$C$4,$E$6:$E105,"&lt;&gt;Complete",$E$6:$E105,"&lt;&gt;N/A"),"")</f>
        <v/>
      </c>
    </row>
    <row r="106" spans="1:11" x14ac:dyDescent="0.45">
      <c r="A106" s="61" t="s">
        <v>1026</v>
      </c>
      <c r="B106" s="48" t="s">
        <v>103</v>
      </c>
      <c r="C106" s="55" t="s">
        <v>1027</v>
      </c>
      <c r="D106" s="62" t="s">
        <v>358</v>
      </c>
      <c r="E106" s="63" t="s">
        <v>827</v>
      </c>
      <c r="F106" s="63"/>
      <c r="G106" s="64"/>
      <c r="H106" s="47" t="str">
        <f t="shared" ca="1" si="1"/>
        <v/>
      </c>
      <c r="I106" s="63"/>
      <c r="J106" s="65">
        <f>IF(AND($D106="P1",$E106&lt;&gt;"Complete",$E106&lt;&gt;"N/A"),COUNTIFS($D$6:$D106,"P1",$E$6:$E106,"&lt;&gt;Complete",$E$6:$E106,"&lt;&gt;N/A"),"")</f>
        <v>39</v>
      </c>
      <c r="K106" s="65" t="str">
        <f>IF(AND($F106&lt;&gt;"",$F106='10. Owner View'!$C$4,$E106&lt;&gt;"Complete",$E106&lt;&gt;"N/A"),COUNTIFS($F$6:$F106,'10. Owner View'!$C$4,$E$6:$E106,"&lt;&gt;Complete",$E$6:$E106,"&lt;&gt;N/A"),"")</f>
        <v/>
      </c>
    </row>
    <row r="107" spans="1:11" x14ac:dyDescent="0.45">
      <c r="A107" s="61" t="s">
        <v>1028</v>
      </c>
      <c r="B107" s="48" t="s">
        <v>103</v>
      </c>
      <c r="C107" s="55" t="s">
        <v>1029</v>
      </c>
      <c r="D107" s="62" t="s">
        <v>358</v>
      </c>
      <c r="E107" s="63" t="s">
        <v>827</v>
      </c>
      <c r="F107" s="63"/>
      <c r="G107" s="64"/>
      <c r="H107" s="47" t="str">
        <f t="shared" ca="1" si="1"/>
        <v/>
      </c>
      <c r="I107" s="63"/>
      <c r="J107" s="65">
        <f>IF(AND($D107="P1",$E107&lt;&gt;"Complete",$E107&lt;&gt;"N/A"),COUNTIFS($D$6:$D107,"P1",$E$6:$E107,"&lt;&gt;Complete",$E$6:$E107,"&lt;&gt;N/A"),"")</f>
        <v>40</v>
      </c>
      <c r="K107" s="65" t="str">
        <f>IF(AND($F107&lt;&gt;"",$F107='10. Owner View'!$C$4,$E107&lt;&gt;"Complete",$E107&lt;&gt;"N/A"),COUNTIFS($F$6:$F107,'10. Owner View'!$C$4,$E$6:$E107,"&lt;&gt;Complete",$E$6:$E107,"&lt;&gt;N/A"),"")</f>
        <v/>
      </c>
    </row>
    <row r="108" spans="1:11" x14ac:dyDescent="0.45">
      <c r="A108" s="61" t="s">
        <v>1030</v>
      </c>
      <c r="B108" s="48" t="s">
        <v>103</v>
      </c>
      <c r="C108" s="55" t="s">
        <v>1031</v>
      </c>
      <c r="D108" s="62" t="s">
        <v>358</v>
      </c>
      <c r="E108" s="63" t="s">
        <v>827</v>
      </c>
      <c r="F108" s="63"/>
      <c r="G108" s="64"/>
      <c r="H108" s="47" t="str">
        <f t="shared" ca="1" si="1"/>
        <v/>
      </c>
      <c r="I108" s="63"/>
      <c r="J108" s="65">
        <f>IF(AND($D108="P1",$E108&lt;&gt;"Complete",$E108&lt;&gt;"N/A"),COUNTIFS($D$6:$D108,"P1",$E$6:$E108,"&lt;&gt;Complete",$E$6:$E108,"&lt;&gt;N/A"),"")</f>
        <v>41</v>
      </c>
      <c r="K108" s="65" t="str">
        <f>IF(AND($F108&lt;&gt;"",$F108='10. Owner View'!$C$4,$E108&lt;&gt;"Complete",$E108&lt;&gt;"N/A"),COUNTIFS($F$6:$F108,'10. Owner View'!$C$4,$E$6:$E108,"&lt;&gt;Complete",$E$6:$E108,"&lt;&gt;N/A"),"")</f>
        <v/>
      </c>
    </row>
    <row r="109" spans="1:11" x14ac:dyDescent="0.45">
      <c r="A109" s="61" t="s">
        <v>1032</v>
      </c>
      <c r="B109" s="48" t="s">
        <v>103</v>
      </c>
      <c r="C109" s="55" t="s">
        <v>1033</v>
      </c>
      <c r="D109" s="62" t="s">
        <v>358</v>
      </c>
      <c r="E109" s="63" t="s">
        <v>827</v>
      </c>
      <c r="F109" s="63"/>
      <c r="G109" s="64"/>
      <c r="H109" s="47" t="str">
        <f t="shared" ca="1" si="1"/>
        <v/>
      </c>
      <c r="I109" s="63"/>
      <c r="J109" s="65">
        <f>IF(AND($D109="P1",$E109&lt;&gt;"Complete",$E109&lt;&gt;"N/A"),COUNTIFS($D$6:$D109,"P1",$E$6:$E109,"&lt;&gt;Complete",$E$6:$E109,"&lt;&gt;N/A"),"")</f>
        <v>42</v>
      </c>
      <c r="K109" s="65" t="str">
        <f>IF(AND($F109&lt;&gt;"",$F109='10. Owner View'!$C$4,$E109&lt;&gt;"Complete",$E109&lt;&gt;"N/A"),COUNTIFS($F$6:$F109,'10. Owner View'!$C$4,$E$6:$E109,"&lt;&gt;Complete",$E$6:$E109,"&lt;&gt;N/A"),"")</f>
        <v/>
      </c>
    </row>
    <row r="110" spans="1:11" x14ac:dyDescent="0.45">
      <c r="A110" s="61" t="s">
        <v>1034</v>
      </c>
      <c r="B110" s="48" t="s">
        <v>103</v>
      </c>
      <c r="C110" s="55" t="s">
        <v>1035</v>
      </c>
      <c r="D110" s="62" t="s">
        <v>402</v>
      </c>
      <c r="E110" s="63" t="s">
        <v>827</v>
      </c>
      <c r="F110" s="63"/>
      <c r="G110" s="64"/>
      <c r="H110" s="47" t="str">
        <f t="shared" ca="1" si="1"/>
        <v/>
      </c>
      <c r="I110" s="63"/>
      <c r="J110" s="65" t="str">
        <f>IF(AND($D110="P1",$E110&lt;&gt;"Complete",$E110&lt;&gt;"N/A"),COUNTIFS($D$6:$D110,"P1",$E$6:$E110,"&lt;&gt;Complete",$E$6:$E110,"&lt;&gt;N/A"),"")</f>
        <v/>
      </c>
      <c r="K110" s="65" t="str">
        <f>IF(AND($F110&lt;&gt;"",$F110='10. Owner View'!$C$4,$E110&lt;&gt;"Complete",$E110&lt;&gt;"N/A"),COUNTIFS($F$6:$F110,'10. Owner View'!$C$4,$E$6:$E110,"&lt;&gt;Complete",$E$6:$E110,"&lt;&gt;N/A"),"")</f>
        <v/>
      </c>
    </row>
    <row r="111" spans="1:11" x14ac:dyDescent="0.45">
      <c r="A111" s="61" t="s">
        <v>1036</v>
      </c>
      <c r="B111" s="48" t="s">
        <v>103</v>
      </c>
      <c r="C111" s="55" t="s">
        <v>1037</v>
      </c>
      <c r="D111" s="62" t="s">
        <v>402</v>
      </c>
      <c r="E111" s="63" t="s">
        <v>827</v>
      </c>
      <c r="F111" s="63"/>
      <c r="G111" s="64"/>
      <c r="H111" s="47" t="str">
        <f t="shared" ca="1" si="1"/>
        <v/>
      </c>
      <c r="I111" s="63"/>
      <c r="J111" s="65" t="str">
        <f>IF(AND($D111="P1",$E111&lt;&gt;"Complete",$E111&lt;&gt;"N/A"),COUNTIFS($D$6:$D111,"P1",$E$6:$E111,"&lt;&gt;Complete",$E$6:$E111,"&lt;&gt;N/A"),"")</f>
        <v/>
      </c>
      <c r="K111" s="65" t="str">
        <f>IF(AND($F111&lt;&gt;"",$F111='10. Owner View'!$C$4,$E111&lt;&gt;"Complete",$E111&lt;&gt;"N/A"),COUNTIFS($F$6:$F111,'10. Owner View'!$C$4,$E$6:$E111,"&lt;&gt;Complete",$E$6:$E111,"&lt;&gt;N/A"),"")</f>
        <v/>
      </c>
    </row>
    <row r="112" spans="1:11" x14ac:dyDescent="0.45">
      <c r="A112" s="61" t="s">
        <v>1038</v>
      </c>
      <c r="B112" s="48" t="s">
        <v>103</v>
      </c>
      <c r="C112" s="55" t="s">
        <v>1039</v>
      </c>
      <c r="D112" s="62" t="s">
        <v>358</v>
      </c>
      <c r="E112" s="63" t="s">
        <v>827</v>
      </c>
      <c r="F112" s="63"/>
      <c r="G112" s="64"/>
      <c r="H112" s="47" t="str">
        <f t="shared" ca="1" si="1"/>
        <v/>
      </c>
      <c r="I112" s="63"/>
      <c r="J112" s="65">
        <f>IF(AND($D112="P1",$E112&lt;&gt;"Complete",$E112&lt;&gt;"N/A"),COUNTIFS($D$6:$D112,"P1",$E$6:$E112,"&lt;&gt;Complete",$E$6:$E112,"&lt;&gt;N/A"),"")</f>
        <v>43</v>
      </c>
      <c r="K112" s="65" t="str">
        <f>IF(AND($F112&lt;&gt;"",$F112='10. Owner View'!$C$4,$E112&lt;&gt;"Complete",$E112&lt;&gt;"N/A"),COUNTIFS($F$6:$F112,'10. Owner View'!$C$4,$E$6:$E112,"&lt;&gt;Complete",$E$6:$E112,"&lt;&gt;N/A"),"")</f>
        <v/>
      </c>
    </row>
    <row r="113" spans="1:11" x14ac:dyDescent="0.45">
      <c r="A113" s="61" t="s">
        <v>1040</v>
      </c>
      <c r="B113" s="48" t="s">
        <v>103</v>
      </c>
      <c r="C113" s="55" t="s">
        <v>1041</v>
      </c>
      <c r="D113" s="62" t="s">
        <v>358</v>
      </c>
      <c r="E113" s="63" t="s">
        <v>827</v>
      </c>
      <c r="F113" s="63"/>
      <c r="G113" s="64"/>
      <c r="H113" s="47" t="str">
        <f t="shared" ca="1" si="1"/>
        <v/>
      </c>
      <c r="I113" s="63"/>
      <c r="J113" s="65">
        <f>IF(AND($D113="P1",$E113&lt;&gt;"Complete",$E113&lt;&gt;"N/A"),COUNTIFS($D$6:$D113,"P1",$E$6:$E113,"&lt;&gt;Complete",$E$6:$E113,"&lt;&gt;N/A"),"")</f>
        <v>44</v>
      </c>
      <c r="K113" s="65" t="str">
        <f>IF(AND($F113&lt;&gt;"",$F113='10. Owner View'!$C$4,$E113&lt;&gt;"Complete",$E113&lt;&gt;"N/A"),COUNTIFS($F$6:$F113,'10. Owner View'!$C$4,$E$6:$E113,"&lt;&gt;Complete",$E$6:$E113,"&lt;&gt;N/A"),"")</f>
        <v/>
      </c>
    </row>
    <row r="114" spans="1:11" x14ac:dyDescent="0.45">
      <c r="A114" s="61" t="s">
        <v>1042</v>
      </c>
      <c r="B114" s="48" t="s">
        <v>103</v>
      </c>
      <c r="C114" s="55" t="s">
        <v>1043</v>
      </c>
      <c r="D114" s="62" t="s">
        <v>358</v>
      </c>
      <c r="E114" s="63" t="s">
        <v>827</v>
      </c>
      <c r="F114" s="63"/>
      <c r="G114" s="64"/>
      <c r="H114" s="47" t="str">
        <f t="shared" ca="1" si="1"/>
        <v/>
      </c>
      <c r="I114" s="63"/>
      <c r="J114" s="65">
        <f>IF(AND($D114="P1",$E114&lt;&gt;"Complete",$E114&lt;&gt;"N/A"),COUNTIFS($D$6:$D114,"P1",$E$6:$E114,"&lt;&gt;Complete",$E$6:$E114,"&lt;&gt;N/A"),"")</f>
        <v>45</v>
      </c>
      <c r="K114" s="65" t="str">
        <f>IF(AND($F114&lt;&gt;"",$F114='10. Owner View'!$C$4,$E114&lt;&gt;"Complete",$E114&lt;&gt;"N/A"),COUNTIFS($F$6:$F114,'10. Owner View'!$C$4,$E$6:$E114,"&lt;&gt;Complete",$E$6:$E114,"&lt;&gt;N/A"),"")</f>
        <v/>
      </c>
    </row>
    <row r="115" spans="1:11" x14ac:dyDescent="0.45">
      <c r="A115" s="61" t="s">
        <v>1044</v>
      </c>
      <c r="B115" s="48" t="s">
        <v>103</v>
      </c>
      <c r="C115" s="55" t="s">
        <v>1045</v>
      </c>
      <c r="D115" s="62" t="s">
        <v>402</v>
      </c>
      <c r="E115" s="63" t="s">
        <v>827</v>
      </c>
      <c r="F115" s="63"/>
      <c r="G115" s="64"/>
      <c r="H115" s="47" t="str">
        <f t="shared" ca="1" si="1"/>
        <v/>
      </c>
      <c r="I115" s="63"/>
      <c r="J115" s="65" t="str">
        <f>IF(AND($D115="P1",$E115&lt;&gt;"Complete",$E115&lt;&gt;"N/A"),COUNTIFS($D$6:$D115,"P1",$E$6:$E115,"&lt;&gt;Complete",$E$6:$E115,"&lt;&gt;N/A"),"")</f>
        <v/>
      </c>
      <c r="K115" s="65" t="str">
        <f>IF(AND($F115&lt;&gt;"",$F115='10. Owner View'!$C$4,$E115&lt;&gt;"Complete",$E115&lt;&gt;"N/A"),COUNTIFS($F$6:$F115,'10. Owner View'!$C$4,$E$6:$E115,"&lt;&gt;Complete",$E$6:$E115,"&lt;&gt;N/A"),"")</f>
        <v/>
      </c>
    </row>
    <row r="116" spans="1:11" x14ac:dyDescent="0.45">
      <c r="A116" s="61" t="s">
        <v>1046</v>
      </c>
      <c r="B116" s="48" t="s">
        <v>103</v>
      </c>
      <c r="C116" s="55" t="s">
        <v>1047</v>
      </c>
      <c r="D116" s="62" t="s">
        <v>358</v>
      </c>
      <c r="E116" s="63" t="s">
        <v>827</v>
      </c>
      <c r="F116" s="63"/>
      <c r="G116" s="64"/>
      <c r="H116" s="47" t="str">
        <f t="shared" ca="1" si="1"/>
        <v/>
      </c>
      <c r="I116" s="63"/>
      <c r="J116" s="65">
        <f>IF(AND($D116="P1",$E116&lt;&gt;"Complete",$E116&lt;&gt;"N/A"),COUNTIFS($D$6:$D116,"P1",$E$6:$E116,"&lt;&gt;Complete",$E$6:$E116,"&lt;&gt;N/A"),"")</f>
        <v>46</v>
      </c>
      <c r="K116" s="65" t="str">
        <f>IF(AND($F116&lt;&gt;"",$F116='10. Owner View'!$C$4,$E116&lt;&gt;"Complete",$E116&lt;&gt;"N/A"),COUNTIFS($F$6:$F116,'10. Owner View'!$C$4,$E$6:$E116,"&lt;&gt;Complete",$E$6:$E116,"&lt;&gt;N/A"),"")</f>
        <v/>
      </c>
    </row>
    <row r="117" spans="1:11" x14ac:dyDescent="0.45">
      <c r="A117" s="61" t="s">
        <v>1048</v>
      </c>
      <c r="B117" s="48" t="s">
        <v>103</v>
      </c>
      <c r="C117" s="55" t="s">
        <v>1049</v>
      </c>
      <c r="D117" s="62" t="s">
        <v>402</v>
      </c>
      <c r="E117" s="63" t="s">
        <v>827</v>
      </c>
      <c r="F117" s="63"/>
      <c r="G117" s="64"/>
      <c r="H117" s="47" t="str">
        <f t="shared" ca="1" si="1"/>
        <v/>
      </c>
      <c r="I117" s="63"/>
      <c r="J117" s="65" t="str">
        <f>IF(AND($D117="P1",$E117&lt;&gt;"Complete",$E117&lt;&gt;"N/A"),COUNTIFS($D$6:$D117,"P1",$E$6:$E117,"&lt;&gt;Complete",$E$6:$E117,"&lt;&gt;N/A"),"")</f>
        <v/>
      </c>
      <c r="K117" s="65" t="str">
        <f>IF(AND($F117&lt;&gt;"",$F117='10. Owner View'!$C$4,$E117&lt;&gt;"Complete",$E117&lt;&gt;"N/A"),COUNTIFS($F$6:$F117,'10. Owner View'!$C$4,$E$6:$E117,"&lt;&gt;Complete",$E$6:$E117,"&lt;&gt;N/A"),"")</f>
        <v/>
      </c>
    </row>
    <row r="118" spans="1:11" x14ac:dyDescent="0.45">
      <c r="A118" s="61" t="s">
        <v>1050</v>
      </c>
      <c r="B118" s="48" t="s">
        <v>103</v>
      </c>
      <c r="C118" s="55" t="s">
        <v>1051</v>
      </c>
      <c r="D118" s="62" t="s">
        <v>358</v>
      </c>
      <c r="E118" s="63" t="s">
        <v>827</v>
      </c>
      <c r="F118" s="63"/>
      <c r="G118" s="64"/>
      <c r="H118" s="47" t="str">
        <f t="shared" ca="1" si="1"/>
        <v/>
      </c>
      <c r="I118" s="63"/>
      <c r="J118" s="65">
        <f>IF(AND($D118="P1",$E118&lt;&gt;"Complete",$E118&lt;&gt;"N/A"),COUNTIFS($D$6:$D118,"P1",$E$6:$E118,"&lt;&gt;Complete",$E$6:$E118,"&lt;&gt;N/A"),"")</f>
        <v>47</v>
      </c>
      <c r="K118" s="65" t="str">
        <f>IF(AND($F118&lt;&gt;"",$F118='10. Owner View'!$C$4,$E118&lt;&gt;"Complete",$E118&lt;&gt;"N/A"),COUNTIFS($F$6:$F118,'10. Owner View'!$C$4,$E$6:$E118,"&lt;&gt;Complete",$E$6:$E118,"&lt;&gt;N/A"),"")</f>
        <v/>
      </c>
    </row>
    <row r="119" spans="1:11" x14ac:dyDescent="0.45">
      <c r="A119" s="61" t="s">
        <v>1052</v>
      </c>
      <c r="B119" s="48" t="s">
        <v>103</v>
      </c>
      <c r="C119" s="55" t="s">
        <v>1053</v>
      </c>
      <c r="D119" s="62" t="s">
        <v>402</v>
      </c>
      <c r="E119" s="63" t="s">
        <v>827</v>
      </c>
      <c r="F119" s="63"/>
      <c r="G119" s="64"/>
      <c r="H119" s="47" t="str">
        <f t="shared" ca="1" si="1"/>
        <v/>
      </c>
      <c r="I119" s="63"/>
      <c r="J119" s="65" t="str">
        <f>IF(AND($D119="P1",$E119&lt;&gt;"Complete",$E119&lt;&gt;"N/A"),COUNTIFS($D$6:$D119,"P1",$E$6:$E119,"&lt;&gt;Complete",$E$6:$E119,"&lt;&gt;N/A"),"")</f>
        <v/>
      </c>
      <c r="K119" s="65" t="str">
        <f>IF(AND($F119&lt;&gt;"",$F119='10. Owner View'!$C$4,$E119&lt;&gt;"Complete",$E119&lt;&gt;"N/A"),COUNTIFS($F$6:$F119,'10. Owner View'!$C$4,$E$6:$E119,"&lt;&gt;Complete",$E$6:$E119,"&lt;&gt;N/A"),"")</f>
        <v/>
      </c>
    </row>
    <row r="120" spans="1:11" x14ac:dyDescent="0.45">
      <c r="A120" s="61" t="s">
        <v>1054</v>
      </c>
      <c r="B120" s="48" t="s">
        <v>103</v>
      </c>
      <c r="C120" s="55" t="s">
        <v>1055</v>
      </c>
      <c r="D120" s="62" t="s">
        <v>358</v>
      </c>
      <c r="E120" s="63" t="s">
        <v>827</v>
      </c>
      <c r="F120" s="63"/>
      <c r="G120" s="64"/>
      <c r="H120" s="47" t="str">
        <f t="shared" ca="1" si="1"/>
        <v/>
      </c>
      <c r="I120" s="63"/>
      <c r="J120" s="65">
        <f>IF(AND($D120="P1",$E120&lt;&gt;"Complete",$E120&lt;&gt;"N/A"),COUNTIFS($D$6:$D120,"P1",$E$6:$E120,"&lt;&gt;Complete",$E$6:$E120,"&lt;&gt;N/A"),"")</f>
        <v>48</v>
      </c>
      <c r="K120" s="65" t="str">
        <f>IF(AND($F120&lt;&gt;"",$F120='10. Owner View'!$C$4,$E120&lt;&gt;"Complete",$E120&lt;&gt;"N/A"),COUNTIFS($F$6:$F120,'10. Owner View'!$C$4,$E$6:$E120,"&lt;&gt;Complete",$E$6:$E120,"&lt;&gt;N/A"),"")</f>
        <v/>
      </c>
    </row>
    <row r="121" spans="1:11" x14ac:dyDescent="0.45">
      <c r="A121" s="61" t="s">
        <v>1056</v>
      </c>
      <c r="B121" s="48" t="s">
        <v>103</v>
      </c>
      <c r="C121" s="55" t="s">
        <v>1057</v>
      </c>
      <c r="D121" s="62" t="s">
        <v>402</v>
      </c>
      <c r="E121" s="63" t="s">
        <v>827</v>
      </c>
      <c r="F121" s="63"/>
      <c r="G121" s="64"/>
      <c r="H121" s="47" t="str">
        <f t="shared" ca="1" si="1"/>
        <v/>
      </c>
      <c r="I121" s="63"/>
      <c r="J121" s="65" t="str">
        <f>IF(AND($D121="P1",$E121&lt;&gt;"Complete",$E121&lt;&gt;"N/A"),COUNTIFS($D$6:$D121,"P1",$E$6:$E121,"&lt;&gt;Complete",$E$6:$E121,"&lt;&gt;N/A"),"")</f>
        <v/>
      </c>
      <c r="K121" s="65" t="str">
        <f>IF(AND($F121&lt;&gt;"",$F121='10. Owner View'!$C$4,$E121&lt;&gt;"Complete",$E121&lt;&gt;"N/A"),COUNTIFS($F$6:$F121,'10. Owner View'!$C$4,$E$6:$E121,"&lt;&gt;Complete",$E$6:$E121,"&lt;&gt;N/A"),"")</f>
        <v/>
      </c>
    </row>
    <row r="122" spans="1:11" x14ac:dyDescent="0.45">
      <c r="A122" s="61" t="s">
        <v>1058</v>
      </c>
      <c r="B122" s="48" t="s">
        <v>103</v>
      </c>
      <c r="C122" s="55" t="s">
        <v>1059</v>
      </c>
      <c r="D122" s="62" t="s">
        <v>402</v>
      </c>
      <c r="E122" s="63" t="s">
        <v>827</v>
      </c>
      <c r="F122" s="63"/>
      <c r="G122" s="64"/>
      <c r="H122" s="47" t="str">
        <f t="shared" ca="1" si="1"/>
        <v/>
      </c>
      <c r="I122" s="63"/>
      <c r="J122" s="65" t="str">
        <f>IF(AND($D122="P1",$E122&lt;&gt;"Complete",$E122&lt;&gt;"N/A"),COUNTIFS($D$6:$D122,"P1",$E$6:$E122,"&lt;&gt;Complete",$E$6:$E122,"&lt;&gt;N/A"),"")</f>
        <v/>
      </c>
      <c r="K122" s="65" t="str">
        <f>IF(AND($F122&lt;&gt;"",$F122='10. Owner View'!$C$4,$E122&lt;&gt;"Complete",$E122&lt;&gt;"N/A"),COUNTIFS($F$6:$F122,'10. Owner View'!$C$4,$E$6:$E122,"&lt;&gt;Complete",$E$6:$E122,"&lt;&gt;N/A"),"")</f>
        <v/>
      </c>
    </row>
    <row r="123" spans="1:11" x14ac:dyDescent="0.45">
      <c r="A123" s="61" t="s">
        <v>1060</v>
      </c>
      <c r="B123" s="48" t="s">
        <v>103</v>
      </c>
      <c r="C123" s="55" t="s">
        <v>1061</v>
      </c>
      <c r="D123" s="62" t="s">
        <v>358</v>
      </c>
      <c r="E123" s="63" t="s">
        <v>827</v>
      </c>
      <c r="F123" s="63"/>
      <c r="G123" s="64"/>
      <c r="H123" s="47" t="str">
        <f t="shared" ca="1" si="1"/>
        <v/>
      </c>
      <c r="I123" s="63"/>
      <c r="J123" s="65">
        <f>IF(AND($D123="P1",$E123&lt;&gt;"Complete",$E123&lt;&gt;"N/A"),COUNTIFS($D$6:$D123,"P1",$E$6:$E123,"&lt;&gt;Complete",$E$6:$E123,"&lt;&gt;N/A"),"")</f>
        <v>49</v>
      </c>
      <c r="K123" s="65" t="str">
        <f>IF(AND($F123&lt;&gt;"",$F123='10. Owner View'!$C$4,$E123&lt;&gt;"Complete",$E123&lt;&gt;"N/A"),COUNTIFS($F$6:$F123,'10. Owner View'!$C$4,$E$6:$E123,"&lt;&gt;Complete",$E$6:$E123,"&lt;&gt;N/A"),"")</f>
        <v/>
      </c>
    </row>
    <row r="124" spans="1:11" x14ac:dyDescent="0.45">
      <c r="A124" s="61" t="s">
        <v>1062</v>
      </c>
      <c r="B124" s="48" t="s">
        <v>103</v>
      </c>
      <c r="C124" s="55" t="s">
        <v>1063</v>
      </c>
      <c r="D124" s="62" t="s">
        <v>402</v>
      </c>
      <c r="E124" s="63" t="s">
        <v>827</v>
      </c>
      <c r="F124" s="63"/>
      <c r="G124" s="64"/>
      <c r="H124" s="47" t="str">
        <f t="shared" ca="1" si="1"/>
        <v/>
      </c>
      <c r="I124" s="63"/>
      <c r="J124" s="65" t="str">
        <f>IF(AND($D124="P1",$E124&lt;&gt;"Complete",$E124&lt;&gt;"N/A"),COUNTIFS($D$6:$D124,"P1",$E$6:$E124,"&lt;&gt;Complete",$E$6:$E124,"&lt;&gt;N/A"),"")</f>
        <v/>
      </c>
      <c r="K124" s="65" t="str">
        <f>IF(AND($F124&lt;&gt;"",$F124='10. Owner View'!$C$4,$E124&lt;&gt;"Complete",$E124&lt;&gt;"N/A"),COUNTIFS($F$6:$F124,'10. Owner View'!$C$4,$E$6:$E124,"&lt;&gt;Complete",$E$6:$E124,"&lt;&gt;N/A"),"")</f>
        <v/>
      </c>
    </row>
    <row r="125" spans="1:11" x14ac:dyDescent="0.45">
      <c r="A125" s="61" t="s">
        <v>1064</v>
      </c>
      <c r="B125" s="48" t="s">
        <v>103</v>
      </c>
      <c r="C125" s="55" t="s">
        <v>1065</v>
      </c>
      <c r="D125" s="62" t="s">
        <v>402</v>
      </c>
      <c r="E125" s="63" t="s">
        <v>827</v>
      </c>
      <c r="F125" s="63"/>
      <c r="G125" s="64"/>
      <c r="H125" s="47" t="str">
        <f t="shared" ca="1" si="1"/>
        <v/>
      </c>
      <c r="I125" s="63"/>
      <c r="J125" s="65" t="str">
        <f>IF(AND($D125="P1",$E125&lt;&gt;"Complete",$E125&lt;&gt;"N/A"),COUNTIFS($D$6:$D125,"P1",$E$6:$E125,"&lt;&gt;Complete",$E$6:$E125,"&lt;&gt;N/A"),"")</f>
        <v/>
      </c>
      <c r="K125" s="65" t="str">
        <f>IF(AND($F125&lt;&gt;"",$F125='10. Owner View'!$C$4,$E125&lt;&gt;"Complete",$E125&lt;&gt;"N/A"),COUNTIFS($F$6:$F125,'10. Owner View'!$C$4,$E$6:$E125,"&lt;&gt;Complete",$E$6:$E125,"&lt;&gt;N/A"),"")</f>
        <v/>
      </c>
    </row>
    <row r="126" spans="1:11" x14ac:dyDescent="0.45">
      <c r="A126" s="61" t="s">
        <v>1066</v>
      </c>
      <c r="B126" s="48" t="s">
        <v>104</v>
      </c>
      <c r="C126" s="55" t="s">
        <v>1067</v>
      </c>
      <c r="D126" s="62" t="s">
        <v>402</v>
      </c>
      <c r="E126" s="63" t="s">
        <v>827</v>
      </c>
      <c r="F126" s="63"/>
      <c r="G126" s="64"/>
      <c r="H126" s="47" t="str">
        <f t="shared" ca="1" si="1"/>
        <v/>
      </c>
      <c r="I126" s="63"/>
      <c r="J126" s="65" t="str">
        <f>IF(AND($D126="P1",$E126&lt;&gt;"Complete",$E126&lt;&gt;"N/A"),COUNTIFS($D$6:$D126,"P1",$E$6:$E126,"&lt;&gt;Complete",$E$6:$E126,"&lt;&gt;N/A"),"")</f>
        <v/>
      </c>
      <c r="K126" s="65" t="str">
        <f>IF(AND($F126&lt;&gt;"",$F126='10. Owner View'!$C$4,$E126&lt;&gt;"Complete",$E126&lt;&gt;"N/A"),COUNTIFS($F$6:$F126,'10. Owner View'!$C$4,$E$6:$E126,"&lt;&gt;Complete",$E$6:$E126,"&lt;&gt;N/A"),"")</f>
        <v/>
      </c>
    </row>
    <row r="127" spans="1:11" x14ac:dyDescent="0.45">
      <c r="A127" s="61" t="s">
        <v>1068</v>
      </c>
      <c r="B127" s="48" t="s">
        <v>104</v>
      </c>
      <c r="C127" s="55" t="s">
        <v>1069</v>
      </c>
      <c r="D127" s="62" t="s">
        <v>402</v>
      </c>
      <c r="E127" s="63" t="s">
        <v>827</v>
      </c>
      <c r="F127" s="63"/>
      <c r="G127" s="64"/>
      <c r="H127" s="47" t="str">
        <f t="shared" ca="1" si="1"/>
        <v/>
      </c>
      <c r="I127" s="63"/>
      <c r="J127" s="65" t="str">
        <f>IF(AND($D127="P1",$E127&lt;&gt;"Complete",$E127&lt;&gt;"N/A"),COUNTIFS($D$6:$D127,"P1",$E$6:$E127,"&lt;&gt;Complete",$E$6:$E127,"&lt;&gt;N/A"),"")</f>
        <v/>
      </c>
      <c r="K127" s="65" t="str">
        <f>IF(AND($F127&lt;&gt;"",$F127='10. Owner View'!$C$4,$E127&lt;&gt;"Complete",$E127&lt;&gt;"N/A"),COUNTIFS($F$6:$F127,'10. Owner View'!$C$4,$E$6:$E127,"&lt;&gt;Complete",$E$6:$E127,"&lt;&gt;N/A"),"")</f>
        <v/>
      </c>
    </row>
    <row r="128" spans="1:11" x14ac:dyDescent="0.45">
      <c r="A128" s="61" t="s">
        <v>1070</v>
      </c>
      <c r="B128" s="48" t="s">
        <v>104</v>
      </c>
      <c r="C128" s="55" t="s">
        <v>1071</v>
      </c>
      <c r="D128" s="62" t="s">
        <v>402</v>
      </c>
      <c r="E128" s="63" t="s">
        <v>827</v>
      </c>
      <c r="F128" s="63"/>
      <c r="G128" s="64"/>
      <c r="H128" s="47" t="str">
        <f t="shared" ca="1" si="1"/>
        <v/>
      </c>
      <c r="I128" s="63"/>
      <c r="J128" s="65" t="str">
        <f>IF(AND($D128="P1",$E128&lt;&gt;"Complete",$E128&lt;&gt;"N/A"),COUNTIFS($D$6:$D128,"P1",$E$6:$E128,"&lt;&gt;Complete",$E$6:$E128,"&lt;&gt;N/A"),"")</f>
        <v/>
      </c>
      <c r="K128" s="65" t="str">
        <f>IF(AND($F128&lt;&gt;"",$F128='10. Owner View'!$C$4,$E128&lt;&gt;"Complete",$E128&lt;&gt;"N/A"),COUNTIFS($F$6:$F128,'10. Owner View'!$C$4,$E$6:$E128,"&lt;&gt;Complete",$E$6:$E128,"&lt;&gt;N/A"),"")</f>
        <v/>
      </c>
    </row>
    <row r="129" spans="1:11" x14ac:dyDescent="0.45">
      <c r="A129" s="61" t="s">
        <v>1072</v>
      </c>
      <c r="B129" s="48" t="s">
        <v>104</v>
      </c>
      <c r="C129" s="55" t="s">
        <v>1073</v>
      </c>
      <c r="D129" s="62" t="s">
        <v>402</v>
      </c>
      <c r="E129" s="63" t="s">
        <v>827</v>
      </c>
      <c r="F129" s="63"/>
      <c r="G129" s="64"/>
      <c r="H129" s="47" t="str">
        <f t="shared" ca="1" si="1"/>
        <v/>
      </c>
      <c r="I129" s="63"/>
      <c r="J129" s="65" t="str">
        <f>IF(AND($D129="P1",$E129&lt;&gt;"Complete",$E129&lt;&gt;"N/A"),COUNTIFS($D$6:$D129,"P1",$E$6:$E129,"&lt;&gt;Complete",$E$6:$E129,"&lt;&gt;N/A"),"")</f>
        <v/>
      </c>
      <c r="K129" s="65" t="str">
        <f>IF(AND($F129&lt;&gt;"",$F129='10. Owner View'!$C$4,$E129&lt;&gt;"Complete",$E129&lt;&gt;"N/A"),COUNTIFS($F$6:$F129,'10. Owner View'!$C$4,$E$6:$E129,"&lt;&gt;Complete",$E$6:$E129,"&lt;&gt;N/A"),"")</f>
        <v/>
      </c>
    </row>
    <row r="130" spans="1:11" x14ac:dyDescent="0.45">
      <c r="A130" s="61" t="s">
        <v>1074</v>
      </c>
      <c r="B130" s="48" t="s">
        <v>104</v>
      </c>
      <c r="C130" s="55" t="s">
        <v>1075</v>
      </c>
      <c r="D130" s="62" t="s">
        <v>402</v>
      </c>
      <c r="E130" s="63" t="s">
        <v>827</v>
      </c>
      <c r="F130" s="63"/>
      <c r="G130" s="64"/>
      <c r="H130" s="47" t="str">
        <f t="shared" ca="1" si="1"/>
        <v/>
      </c>
      <c r="I130" s="63"/>
      <c r="J130" s="65" t="str">
        <f>IF(AND($D130="P1",$E130&lt;&gt;"Complete",$E130&lt;&gt;"N/A"),COUNTIFS($D$6:$D130,"P1",$E$6:$E130,"&lt;&gt;Complete",$E$6:$E130,"&lt;&gt;N/A"),"")</f>
        <v/>
      </c>
      <c r="K130" s="65" t="str">
        <f>IF(AND($F130&lt;&gt;"",$F130='10. Owner View'!$C$4,$E130&lt;&gt;"Complete",$E130&lt;&gt;"N/A"),COUNTIFS($F$6:$F130,'10. Owner View'!$C$4,$E$6:$E130,"&lt;&gt;Complete",$E$6:$E130,"&lt;&gt;N/A"),"")</f>
        <v/>
      </c>
    </row>
    <row r="131" spans="1:11" x14ac:dyDescent="0.45">
      <c r="A131" s="61" t="s">
        <v>1076</v>
      </c>
      <c r="B131" s="48" t="s">
        <v>104</v>
      </c>
      <c r="C131" s="55" t="s">
        <v>1077</v>
      </c>
      <c r="D131" s="62" t="s">
        <v>402</v>
      </c>
      <c r="E131" s="63" t="s">
        <v>827</v>
      </c>
      <c r="F131" s="63"/>
      <c r="G131" s="64"/>
      <c r="H131" s="47" t="str">
        <f t="shared" ca="1" si="1"/>
        <v/>
      </c>
      <c r="I131" s="63"/>
      <c r="J131" s="65" t="str">
        <f>IF(AND($D131="P1",$E131&lt;&gt;"Complete",$E131&lt;&gt;"N/A"),COUNTIFS($D$6:$D131,"P1",$E$6:$E131,"&lt;&gt;Complete",$E$6:$E131,"&lt;&gt;N/A"),"")</f>
        <v/>
      </c>
      <c r="K131" s="65" t="str">
        <f>IF(AND($F131&lt;&gt;"",$F131='10. Owner View'!$C$4,$E131&lt;&gt;"Complete",$E131&lt;&gt;"N/A"),COUNTIFS($F$6:$F131,'10. Owner View'!$C$4,$E$6:$E131,"&lt;&gt;Complete",$E$6:$E131,"&lt;&gt;N/A"),"")</f>
        <v/>
      </c>
    </row>
    <row r="132" spans="1:11" x14ac:dyDescent="0.45">
      <c r="A132" s="61" t="s">
        <v>1078</v>
      </c>
      <c r="B132" s="48" t="s">
        <v>104</v>
      </c>
      <c r="C132" s="55" t="s">
        <v>1079</v>
      </c>
      <c r="D132" s="62" t="s">
        <v>402</v>
      </c>
      <c r="E132" s="63" t="s">
        <v>827</v>
      </c>
      <c r="F132" s="63"/>
      <c r="G132" s="64"/>
      <c r="H132" s="47" t="str">
        <f t="shared" ca="1" si="1"/>
        <v/>
      </c>
      <c r="I132" s="63"/>
      <c r="J132" s="65" t="str">
        <f>IF(AND($D132="P1",$E132&lt;&gt;"Complete",$E132&lt;&gt;"N/A"),COUNTIFS($D$6:$D132,"P1",$E$6:$E132,"&lt;&gt;Complete",$E$6:$E132,"&lt;&gt;N/A"),"")</f>
        <v/>
      </c>
      <c r="K132" s="65" t="str">
        <f>IF(AND($F132&lt;&gt;"",$F132='10. Owner View'!$C$4,$E132&lt;&gt;"Complete",$E132&lt;&gt;"N/A"),COUNTIFS($F$6:$F132,'10. Owner View'!$C$4,$E$6:$E132,"&lt;&gt;Complete",$E$6:$E132,"&lt;&gt;N/A"),"")</f>
        <v/>
      </c>
    </row>
    <row r="133" spans="1:11" x14ac:dyDescent="0.45">
      <c r="A133" s="61" t="s">
        <v>1080</v>
      </c>
      <c r="B133" s="48" t="s">
        <v>104</v>
      </c>
      <c r="C133" s="55" t="s">
        <v>1081</v>
      </c>
      <c r="D133" s="62" t="s">
        <v>402</v>
      </c>
      <c r="E133" s="63" t="s">
        <v>827</v>
      </c>
      <c r="F133" s="63"/>
      <c r="G133" s="64"/>
      <c r="H133" s="47" t="str">
        <f t="shared" ca="1" si="1"/>
        <v/>
      </c>
      <c r="I133" s="63"/>
      <c r="J133" s="65" t="str">
        <f>IF(AND($D133="P1",$E133&lt;&gt;"Complete",$E133&lt;&gt;"N/A"),COUNTIFS($D$6:$D133,"P1",$E$6:$E133,"&lt;&gt;Complete",$E$6:$E133,"&lt;&gt;N/A"),"")</f>
        <v/>
      </c>
      <c r="K133" s="65" t="str">
        <f>IF(AND($F133&lt;&gt;"",$F133='10. Owner View'!$C$4,$E133&lt;&gt;"Complete",$E133&lt;&gt;"N/A"),COUNTIFS($F$6:$F133,'10. Owner View'!$C$4,$E$6:$E133,"&lt;&gt;Complete",$E$6:$E133,"&lt;&gt;N/A"),"")</f>
        <v/>
      </c>
    </row>
    <row r="134" spans="1:11" x14ac:dyDescent="0.45">
      <c r="A134" s="61" t="s">
        <v>1082</v>
      </c>
      <c r="B134" s="48" t="s">
        <v>104</v>
      </c>
      <c r="C134" s="55" t="s">
        <v>1083</v>
      </c>
      <c r="D134" s="62" t="s">
        <v>468</v>
      </c>
      <c r="E134" s="63" t="s">
        <v>827</v>
      </c>
      <c r="F134" s="63"/>
      <c r="G134" s="64"/>
      <c r="H134" s="47" t="str">
        <f t="shared" ref="H134:H197" ca="1" si="2">IF($G134="","",IF($E134="Complete","done",$G134-TODAY()))</f>
        <v/>
      </c>
      <c r="I134" s="63"/>
      <c r="J134" s="65" t="str">
        <f>IF(AND($D134="P1",$E134&lt;&gt;"Complete",$E134&lt;&gt;"N/A"),COUNTIFS($D$6:$D134,"P1",$E$6:$E134,"&lt;&gt;Complete",$E$6:$E134,"&lt;&gt;N/A"),"")</f>
        <v/>
      </c>
      <c r="K134" s="65" t="str">
        <f>IF(AND($F134&lt;&gt;"",$F134='10. Owner View'!$C$4,$E134&lt;&gt;"Complete",$E134&lt;&gt;"N/A"),COUNTIFS($F$6:$F134,'10. Owner View'!$C$4,$E$6:$E134,"&lt;&gt;Complete",$E$6:$E134,"&lt;&gt;N/A"),"")</f>
        <v/>
      </c>
    </row>
    <row r="135" spans="1:11" x14ac:dyDescent="0.45">
      <c r="A135" s="61" t="s">
        <v>1084</v>
      </c>
      <c r="B135" s="48" t="s">
        <v>104</v>
      </c>
      <c r="C135" s="55" t="s">
        <v>1085</v>
      </c>
      <c r="D135" s="62" t="s">
        <v>402</v>
      </c>
      <c r="E135" s="63" t="s">
        <v>827</v>
      </c>
      <c r="F135" s="63"/>
      <c r="G135" s="64"/>
      <c r="H135" s="47" t="str">
        <f t="shared" ca="1" si="2"/>
        <v/>
      </c>
      <c r="I135" s="63"/>
      <c r="J135" s="65" t="str">
        <f>IF(AND($D135="P1",$E135&lt;&gt;"Complete",$E135&lt;&gt;"N/A"),COUNTIFS($D$6:$D135,"P1",$E$6:$E135,"&lt;&gt;Complete",$E$6:$E135,"&lt;&gt;N/A"),"")</f>
        <v/>
      </c>
      <c r="K135" s="65" t="str">
        <f>IF(AND($F135&lt;&gt;"",$F135='10. Owner View'!$C$4,$E135&lt;&gt;"Complete",$E135&lt;&gt;"N/A"),COUNTIFS($F$6:$F135,'10. Owner View'!$C$4,$E$6:$E135,"&lt;&gt;Complete",$E$6:$E135,"&lt;&gt;N/A"),"")</f>
        <v/>
      </c>
    </row>
    <row r="136" spans="1:11" x14ac:dyDescent="0.45">
      <c r="A136" s="61" t="s">
        <v>1086</v>
      </c>
      <c r="B136" s="48" t="s">
        <v>104</v>
      </c>
      <c r="C136" s="55" t="s">
        <v>1087</v>
      </c>
      <c r="D136" s="62" t="s">
        <v>402</v>
      </c>
      <c r="E136" s="63" t="s">
        <v>827</v>
      </c>
      <c r="F136" s="63"/>
      <c r="G136" s="64"/>
      <c r="H136" s="47" t="str">
        <f t="shared" ca="1" si="2"/>
        <v/>
      </c>
      <c r="I136" s="63"/>
      <c r="J136" s="65" t="str">
        <f>IF(AND($D136="P1",$E136&lt;&gt;"Complete",$E136&lt;&gt;"N/A"),COUNTIFS($D$6:$D136,"P1",$E$6:$E136,"&lt;&gt;Complete",$E$6:$E136,"&lt;&gt;N/A"),"")</f>
        <v/>
      </c>
      <c r="K136" s="65" t="str">
        <f>IF(AND($F136&lt;&gt;"",$F136='10. Owner View'!$C$4,$E136&lt;&gt;"Complete",$E136&lt;&gt;"N/A"),COUNTIFS($F$6:$F136,'10. Owner View'!$C$4,$E$6:$E136,"&lt;&gt;Complete",$E$6:$E136,"&lt;&gt;N/A"),"")</f>
        <v/>
      </c>
    </row>
    <row r="137" spans="1:11" x14ac:dyDescent="0.45">
      <c r="A137" s="61" t="s">
        <v>1088</v>
      </c>
      <c r="B137" s="48" t="s">
        <v>104</v>
      </c>
      <c r="C137" s="55" t="s">
        <v>1089</v>
      </c>
      <c r="D137" s="62" t="s">
        <v>402</v>
      </c>
      <c r="E137" s="63" t="s">
        <v>827</v>
      </c>
      <c r="F137" s="63"/>
      <c r="G137" s="64"/>
      <c r="H137" s="47" t="str">
        <f t="shared" ca="1" si="2"/>
        <v/>
      </c>
      <c r="I137" s="63"/>
      <c r="J137" s="65" t="str">
        <f>IF(AND($D137="P1",$E137&lt;&gt;"Complete",$E137&lt;&gt;"N/A"),COUNTIFS($D$6:$D137,"P1",$E$6:$E137,"&lt;&gt;Complete",$E$6:$E137,"&lt;&gt;N/A"),"")</f>
        <v/>
      </c>
      <c r="K137" s="65" t="str">
        <f>IF(AND($F137&lt;&gt;"",$F137='10. Owner View'!$C$4,$E137&lt;&gt;"Complete",$E137&lt;&gt;"N/A"),COUNTIFS($F$6:$F137,'10. Owner View'!$C$4,$E$6:$E137,"&lt;&gt;Complete",$E$6:$E137,"&lt;&gt;N/A"),"")</f>
        <v/>
      </c>
    </row>
    <row r="138" spans="1:11" x14ac:dyDescent="0.45">
      <c r="A138" s="61" t="s">
        <v>1090</v>
      </c>
      <c r="B138" s="48" t="s">
        <v>104</v>
      </c>
      <c r="C138" s="55" t="s">
        <v>1091</v>
      </c>
      <c r="D138" s="62" t="s">
        <v>468</v>
      </c>
      <c r="E138" s="63" t="s">
        <v>827</v>
      </c>
      <c r="F138" s="63"/>
      <c r="G138" s="64"/>
      <c r="H138" s="47" t="str">
        <f t="shared" ca="1" si="2"/>
        <v/>
      </c>
      <c r="I138" s="63"/>
      <c r="J138" s="65" t="str">
        <f>IF(AND($D138="P1",$E138&lt;&gt;"Complete",$E138&lt;&gt;"N/A"),COUNTIFS($D$6:$D138,"P1",$E$6:$E138,"&lt;&gt;Complete",$E$6:$E138,"&lt;&gt;N/A"),"")</f>
        <v/>
      </c>
      <c r="K138" s="65" t="str">
        <f>IF(AND($F138&lt;&gt;"",$F138='10. Owner View'!$C$4,$E138&lt;&gt;"Complete",$E138&lt;&gt;"N/A"),COUNTIFS($F$6:$F138,'10. Owner View'!$C$4,$E$6:$E138,"&lt;&gt;Complete",$E$6:$E138,"&lt;&gt;N/A"),"")</f>
        <v/>
      </c>
    </row>
    <row r="139" spans="1:11" x14ac:dyDescent="0.45">
      <c r="A139" s="61" t="s">
        <v>1092</v>
      </c>
      <c r="B139" s="48" t="s">
        <v>104</v>
      </c>
      <c r="C139" s="55" t="s">
        <v>1093</v>
      </c>
      <c r="D139" s="62" t="s">
        <v>402</v>
      </c>
      <c r="E139" s="63" t="s">
        <v>827</v>
      </c>
      <c r="F139" s="63"/>
      <c r="G139" s="64"/>
      <c r="H139" s="47" t="str">
        <f t="shared" ca="1" si="2"/>
        <v/>
      </c>
      <c r="I139" s="63"/>
      <c r="J139" s="65" t="str">
        <f>IF(AND($D139="P1",$E139&lt;&gt;"Complete",$E139&lt;&gt;"N/A"),COUNTIFS($D$6:$D139,"P1",$E$6:$E139,"&lt;&gt;Complete",$E$6:$E139,"&lt;&gt;N/A"),"")</f>
        <v/>
      </c>
      <c r="K139" s="65" t="str">
        <f>IF(AND($F139&lt;&gt;"",$F139='10. Owner View'!$C$4,$E139&lt;&gt;"Complete",$E139&lt;&gt;"N/A"),COUNTIFS($F$6:$F139,'10. Owner View'!$C$4,$E$6:$E139,"&lt;&gt;Complete",$E$6:$E139,"&lt;&gt;N/A"),"")</f>
        <v/>
      </c>
    </row>
    <row r="140" spans="1:11" x14ac:dyDescent="0.45">
      <c r="A140" s="61" t="s">
        <v>1094</v>
      </c>
      <c r="B140" s="48" t="s">
        <v>104</v>
      </c>
      <c r="C140" s="55" t="s">
        <v>1095</v>
      </c>
      <c r="D140" s="62" t="s">
        <v>402</v>
      </c>
      <c r="E140" s="63" t="s">
        <v>827</v>
      </c>
      <c r="F140" s="63"/>
      <c r="G140" s="64"/>
      <c r="H140" s="47" t="str">
        <f t="shared" ca="1" si="2"/>
        <v/>
      </c>
      <c r="I140" s="63"/>
      <c r="J140" s="65" t="str">
        <f>IF(AND($D140="P1",$E140&lt;&gt;"Complete",$E140&lt;&gt;"N/A"),COUNTIFS($D$6:$D140,"P1",$E$6:$E140,"&lt;&gt;Complete",$E$6:$E140,"&lt;&gt;N/A"),"")</f>
        <v/>
      </c>
      <c r="K140" s="65" t="str">
        <f>IF(AND($F140&lt;&gt;"",$F140='10. Owner View'!$C$4,$E140&lt;&gt;"Complete",$E140&lt;&gt;"N/A"),COUNTIFS($F$6:$F140,'10. Owner View'!$C$4,$E$6:$E140,"&lt;&gt;Complete",$E$6:$E140,"&lt;&gt;N/A"),"")</f>
        <v/>
      </c>
    </row>
    <row r="141" spans="1:11" x14ac:dyDescent="0.45">
      <c r="A141" s="61" t="s">
        <v>1096</v>
      </c>
      <c r="B141" s="48" t="s">
        <v>104</v>
      </c>
      <c r="C141" s="55" t="s">
        <v>1097</v>
      </c>
      <c r="D141" s="62" t="s">
        <v>468</v>
      </c>
      <c r="E141" s="63" t="s">
        <v>827</v>
      </c>
      <c r="F141" s="63"/>
      <c r="G141" s="64"/>
      <c r="H141" s="47" t="str">
        <f t="shared" ca="1" si="2"/>
        <v/>
      </c>
      <c r="I141" s="63"/>
      <c r="J141" s="65" t="str">
        <f>IF(AND($D141="P1",$E141&lt;&gt;"Complete",$E141&lt;&gt;"N/A"),COUNTIFS($D$6:$D141,"P1",$E$6:$E141,"&lt;&gt;Complete",$E$6:$E141,"&lt;&gt;N/A"),"")</f>
        <v/>
      </c>
      <c r="K141" s="65" t="str">
        <f>IF(AND($F141&lt;&gt;"",$F141='10. Owner View'!$C$4,$E141&lt;&gt;"Complete",$E141&lt;&gt;"N/A"),COUNTIFS($F$6:$F141,'10. Owner View'!$C$4,$E$6:$E141,"&lt;&gt;Complete",$E$6:$E141,"&lt;&gt;N/A"),"")</f>
        <v/>
      </c>
    </row>
    <row r="142" spans="1:11" x14ac:dyDescent="0.45">
      <c r="A142" s="61" t="s">
        <v>1098</v>
      </c>
      <c r="B142" s="48" t="s">
        <v>105</v>
      </c>
      <c r="C142" s="55" t="s">
        <v>1099</v>
      </c>
      <c r="D142" s="62" t="s">
        <v>358</v>
      </c>
      <c r="E142" s="63" t="s">
        <v>827</v>
      </c>
      <c r="F142" s="63"/>
      <c r="G142" s="64"/>
      <c r="H142" s="47" t="str">
        <f t="shared" ca="1" si="2"/>
        <v/>
      </c>
      <c r="I142" s="63"/>
      <c r="J142" s="65">
        <f>IF(AND($D142="P1",$E142&lt;&gt;"Complete",$E142&lt;&gt;"N/A"),COUNTIFS($D$6:$D142,"P1",$E$6:$E142,"&lt;&gt;Complete",$E$6:$E142,"&lt;&gt;N/A"),"")</f>
        <v>50</v>
      </c>
      <c r="K142" s="65" t="str">
        <f>IF(AND($F142&lt;&gt;"",$F142='10. Owner View'!$C$4,$E142&lt;&gt;"Complete",$E142&lt;&gt;"N/A"),COUNTIFS($F$6:$F142,'10. Owner View'!$C$4,$E$6:$E142,"&lt;&gt;Complete",$E$6:$E142,"&lt;&gt;N/A"),"")</f>
        <v/>
      </c>
    </row>
    <row r="143" spans="1:11" x14ac:dyDescent="0.45">
      <c r="A143" s="61" t="s">
        <v>1100</v>
      </c>
      <c r="B143" s="48" t="s">
        <v>105</v>
      </c>
      <c r="C143" s="55" t="s">
        <v>1101</v>
      </c>
      <c r="D143" s="62" t="s">
        <v>358</v>
      </c>
      <c r="E143" s="63" t="s">
        <v>827</v>
      </c>
      <c r="F143" s="63"/>
      <c r="G143" s="64"/>
      <c r="H143" s="47" t="str">
        <f t="shared" ca="1" si="2"/>
        <v/>
      </c>
      <c r="I143" s="63"/>
      <c r="J143" s="65">
        <f>IF(AND($D143="P1",$E143&lt;&gt;"Complete",$E143&lt;&gt;"N/A"),COUNTIFS($D$6:$D143,"P1",$E$6:$E143,"&lt;&gt;Complete",$E$6:$E143,"&lt;&gt;N/A"),"")</f>
        <v>51</v>
      </c>
      <c r="K143" s="65" t="str">
        <f>IF(AND($F143&lt;&gt;"",$F143='10. Owner View'!$C$4,$E143&lt;&gt;"Complete",$E143&lt;&gt;"N/A"),COUNTIFS($F$6:$F143,'10. Owner View'!$C$4,$E$6:$E143,"&lt;&gt;Complete",$E$6:$E143,"&lt;&gt;N/A"),"")</f>
        <v/>
      </c>
    </row>
    <row r="144" spans="1:11" x14ac:dyDescent="0.45">
      <c r="A144" s="61" t="s">
        <v>1102</v>
      </c>
      <c r="B144" s="48" t="s">
        <v>105</v>
      </c>
      <c r="C144" s="55" t="s">
        <v>1103</v>
      </c>
      <c r="D144" s="62" t="s">
        <v>402</v>
      </c>
      <c r="E144" s="63" t="s">
        <v>827</v>
      </c>
      <c r="F144" s="63"/>
      <c r="G144" s="64"/>
      <c r="H144" s="47" t="str">
        <f t="shared" ca="1" si="2"/>
        <v/>
      </c>
      <c r="I144" s="63"/>
      <c r="J144" s="65" t="str">
        <f>IF(AND($D144="P1",$E144&lt;&gt;"Complete",$E144&lt;&gt;"N/A"),COUNTIFS($D$6:$D144,"P1",$E$6:$E144,"&lt;&gt;Complete",$E$6:$E144,"&lt;&gt;N/A"),"")</f>
        <v/>
      </c>
      <c r="K144" s="65" t="str">
        <f>IF(AND($F144&lt;&gt;"",$F144='10. Owner View'!$C$4,$E144&lt;&gt;"Complete",$E144&lt;&gt;"N/A"),COUNTIFS($F$6:$F144,'10. Owner View'!$C$4,$E$6:$E144,"&lt;&gt;Complete",$E$6:$E144,"&lt;&gt;N/A"),"")</f>
        <v/>
      </c>
    </row>
    <row r="145" spans="1:11" x14ac:dyDescent="0.45">
      <c r="A145" s="61" t="s">
        <v>1104</v>
      </c>
      <c r="B145" s="48" t="s">
        <v>105</v>
      </c>
      <c r="C145" s="55" t="s">
        <v>1105</v>
      </c>
      <c r="D145" s="62" t="s">
        <v>358</v>
      </c>
      <c r="E145" s="63" t="s">
        <v>827</v>
      </c>
      <c r="F145" s="63"/>
      <c r="G145" s="64"/>
      <c r="H145" s="47" t="str">
        <f t="shared" ca="1" si="2"/>
        <v/>
      </c>
      <c r="I145" s="63"/>
      <c r="J145" s="65">
        <f>IF(AND($D145="P1",$E145&lt;&gt;"Complete",$E145&lt;&gt;"N/A"),COUNTIFS($D$6:$D145,"P1",$E$6:$E145,"&lt;&gt;Complete",$E$6:$E145,"&lt;&gt;N/A"),"")</f>
        <v>52</v>
      </c>
      <c r="K145" s="65" t="str">
        <f>IF(AND($F145&lt;&gt;"",$F145='10. Owner View'!$C$4,$E145&lt;&gt;"Complete",$E145&lt;&gt;"N/A"),COUNTIFS($F$6:$F145,'10. Owner View'!$C$4,$E$6:$E145,"&lt;&gt;Complete",$E$6:$E145,"&lt;&gt;N/A"),"")</f>
        <v/>
      </c>
    </row>
    <row r="146" spans="1:11" x14ac:dyDescent="0.45">
      <c r="A146" s="61" t="s">
        <v>1106</v>
      </c>
      <c r="B146" s="48" t="s">
        <v>105</v>
      </c>
      <c r="C146" s="55" t="s">
        <v>1107</v>
      </c>
      <c r="D146" s="62" t="s">
        <v>358</v>
      </c>
      <c r="E146" s="63" t="s">
        <v>827</v>
      </c>
      <c r="F146" s="63"/>
      <c r="G146" s="64"/>
      <c r="H146" s="47" t="str">
        <f t="shared" ca="1" si="2"/>
        <v/>
      </c>
      <c r="I146" s="63"/>
      <c r="J146" s="65">
        <f>IF(AND($D146="P1",$E146&lt;&gt;"Complete",$E146&lt;&gt;"N/A"),COUNTIFS($D$6:$D146,"P1",$E$6:$E146,"&lt;&gt;Complete",$E$6:$E146,"&lt;&gt;N/A"),"")</f>
        <v>53</v>
      </c>
      <c r="K146" s="65" t="str">
        <f>IF(AND($F146&lt;&gt;"",$F146='10. Owner View'!$C$4,$E146&lt;&gt;"Complete",$E146&lt;&gt;"N/A"),COUNTIFS($F$6:$F146,'10. Owner View'!$C$4,$E$6:$E146,"&lt;&gt;Complete",$E$6:$E146,"&lt;&gt;N/A"),"")</f>
        <v/>
      </c>
    </row>
    <row r="147" spans="1:11" x14ac:dyDescent="0.45">
      <c r="A147" s="61" t="s">
        <v>1108</v>
      </c>
      <c r="B147" s="48" t="s">
        <v>105</v>
      </c>
      <c r="C147" s="55" t="s">
        <v>1109</v>
      </c>
      <c r="D147" s="62" t="s">
        <v>402</v>
      </c>
      <c r="E147" s="63" t="s">
        <v>827</v>
      </c>
      <c r="F147" s="63"/>
      <c r="G147" s="64"/>
      <c r="H147" s="47" t="str">
        <f t="shared" ca="1" si="2"/>
        <v/>
      </c>
      <c r="I147" s="63"/>
      <c r="J147" s="65" t="str">
        <f>IF(AND($D147="P1",$E147&lt;&gt;"Complete",$E147&lt;&gt;"N/A"),COUNTIFS($D$6:$D147,"P1",$E$6:$E147,"&lt;&gt;Complete",$E$6:$E147,"&lt;&gt;N/A"),"")</f>
        <v/>
      </c>
      <c r="K147" s="65" t="str">
        <f>IF(AND($F147&lt;&gt;"",$F147='10. Owner View'!$C$4,$E147&lt;&gt;"Complete",$E147&lt;&gt;"N/A"),COUNTIFS($F$6:$F147,'10. Owner View'!$C$4,$E$6:$E147,"&lt;&gt;Complete",$E$6:$E147,"&lt;&gt;N/A"),"")</f>
        <v/>
      </c>
    </row>
    <row r="148" spans="1:11" x14ac:dyDescent="0.45">
      <c r="A148" s="61" t="s">
        <v>1110</v>
      </c>
      <c r="B148" s="48" t="s">
        <v>105</v>
      </c>
      <c r="C148" s="55" t="s">
        <v>1111</v>
      </c>
      <c r="D148" s="62" t="s">
        <v>402</v>
      </c>
      <c r="E148" s="63" t="s">
        <v>827</v>
      </c>
      <c r="F148" s="63"/>
      <c r="G148" s="64"/>
      <c r="H148" s="47" t="str">
        <f t="shared" ca="1" si="2"/>
        <v/>
      </c>
      <c r="I148" s="63"/>
      <c r="J148" s="65" t="str">
        <f>IF(AND($D148="P1",$E148&lt;&gt;"Complete",$E148&lt;&gt;"N/A"),COUNTIFS($D$6:$D148,"P1",$E$6:$E148,"&lt;&gt;Complete",$E$6:$E148,"&lt;&gt;N/A"),"")</f>
        <v/>
      </c>
      <c r="K148" s="65" t="str">
        <f>IF(AND($F148&lt;&gt;"",$F148='10. Owner View'!$C$4,$E148&lt;&gt;"Complete",$E148&lt;&gt;"N/A"),COUNTIFS($F$6:$F148,'10. Owner View'!$C$4,$E$6:$E148,"&lt;&gt;Complete",$E$6:$E148,"&lt;&gt;N/A"),"")</f>
        <v/>
      </c>
    </row>
    <row r="149" spans="1:11" x14ac:dyDescent="0.45">
      <c r="A149" s="61" t="s">
        <v>1112</v>
      </c>
      <c r="B149" s="48" t="s">
        <v>105</v>
      </c>
      <c r="C149" s="55" t="s">
        <v>1113</v>
      </c>
      <c r="D149" s="62" t="s">
        <v>402</v>
      </c>
      <c r="E149" s="63" t="s">
        <v>827</v>
      </c>
      <c r="F149" s="63"/>
      <c r="G149" s="64"/>
      <c r="H149" s="47" t="str">
        <f t="shared" ca="1" si="2"/>
        <v/>
      </c>
      <c r="I149" s="63"/>
      <c r="J149" s="65" t="str">
        <f>IF(AND($D149="P1",$E149&lt;&gt;"Complete",$E149&lt;&gt;"N/A"),COUNTIFS($D$6:$D149,"P1",$E$6:$E149,"&lt;&gt;Complete",$E$6:$E149,"&lt;&gt;N/A"),"")</f>
        <v/>
      </c>
      <c r="K149" s="65" t="str">
        <f>IF(AND($F149&lt;&gt;"",$F149='10. Owner View'!$C$4,$E149&lt;&gt;"Complete",$E149&lt;&gt;"N/A"),COUNTIFS($F$6:$F149,'10. Owner View'!$C$4,$E$6:$E149,"&lt;&gt;Complete",$E$6:$E149,"&lt;&gt;N/A"),"")</f>
        <v/>
      </c>
    </row>
    <row r="150" spans="1:11" x14ac:dyDescent="0.45">
      <c r="A150" s="61" t="s">
        <v>1114</v>
      </c>
      <c r="B150" s="48" t="s">
        <v>105</v>
      </c>
      <c r="C150" s="55" t="s">
        <v>1115</v>
      </c>
      <c r="D150" s="62" t="s">
        <v>402</v>
      </c>
      <c r="E150" s="63" t="s">
        <v>827</v>
      </c>
      <c r="F150" s="63"/>
      <c r="G150" s="64"/>
      <c r="H150" s="47" t="str">
        <f t="shared" ca="1" si="2"/>
        <v/>
      </c>
      <c r="I150" s="63"/>
      <c r="J150" s="65" t="str">
        <f>IF(AND($D150="P1",$E150&lt;&gt;"Complete",$E150&lt;&gt;"N/A"),COUNTIFS($D$6:$D150,"P1",$E$6:$E150,"&lt;&gt;Complete",$E$6:$E150,"&lt;&gt;N/A"),"")</f>
        <v/>
      </c>
      <c r="K150" s="65" t="str">
        <f>IF(AND($F150&lt;&gt;"",$F150='10. Owner View'!$C$4,$E150&lt;&gt;"Complete",$E150&lt;&gt;"N/A"),COUNTIFS($F$6:$F150,'10. Owner View'!$C$4,$E$6:$E150,"&lt;&gt;Complete",$E$6:$E150,"&lt;&gt;N/A"),"")</f>
        <v/>
      </c>
    </row>
    <row r="151" spans="1:11" x14ac:dyDescent="0.45">
      <c r="A151" s="61" t="s">
        <v>1116</v>
      </c>
      <c r="B151" s="48" t="s">
        <v>105</v>
      </c>
      <c r="C151" s="55" t="s">
        <v>1117</v>
      </c>
      <c r="D151" s="62" t="s">
        <v>402</v>
      </c>
      <c r="E151" s="63" t="s">
        <v>827</v>
      </c>
      <c r="F151" s="63"/>
      <c r="G151" s="64"/>
      <c r="H151" s="47" t="str">
        <f t="shared" ca="1" si="2"/>
        <v/>
      </c>
      <c r="I151" s="63"/>
      <c r="J151" s="65" t="str">
        <f>IF(AND($D151="P1",$E151&lt;&gt;"Complete",$E151&lt;&gt;"N/A"),COUNTIFS($D$6:$D151,"P1",$E$6:$E151,"&lt;&gt;Complete",$E$6:$E151,"&lt;&gt;N/A"),"")</f>
        <v/>
      </c>
      <c r="K151" s="65" t="str">
        <f>IF(AND($F151&lt;&gt;"",$F151='10. Owner View'!$C$4,$E151&lt;&gt;"Complete",$E151&lt;&gt;"N/A"),COUNTIFS($F$6:$F151,'10. Owner View'!$C$4,$E$6:$E151,"&lt;&gt;Complete",$E$6:$E151,"&lt;&gt;N/A"),"")</f>
        <v/>
      </c>
    </row>
    <row r="152" spans="1:11" x14ac:dyDescent="0.45">
      <c r="A152" s="61" t="s">
        <v>1118</v>
      </c>
      <c r="B152" s="48" t="s">
        <v>105</v>
      </c>
      <c r="C152" s="55" t="s">
        <v>1119</v>
      </c>
      <c r="D152" s="62" t="s">
        <v>402</v>
      </c>
      <c r="E152" s="63" t="s">
        <v>827</v>
      </c>
      <c r="F152" s="63"/>
      <c r="G152" s="64"/>
      <c r="H152" s="47" t="str">
        <f t="shared" ca="1" si="2"/>
        <v/>
      </c>
      <c r="I152" s="63"/>
      <c r="J152" s="65" t="str">
        <f>IF(AND($D152="P1",$E152&lt;&gt;"Complete",$E152&lt;&gt;"N/A"),COUNTIFS($D$6:$D152,"P1",$E$6:$E152,"&lt;&gt;Complete",$E$6:$E152,"&lt;&gt;N/A"),"")</f>
        <v/>
      </c>
      <c r="K152" s="65" t="str">
        <f>IF(AND($F152&lt;&gt;"",$F152='10. Owner View'!$C$4,$E152&lt;&gt;"Complete",$E152&lt;&gt;"N/A"),COUNTIFS($F$6:$F152,'10. Owner View'!$C$4,$E$6:$E152,"&lt;&gt;Complete",$E$6:$E152,"&lt;&gt;N/A"),"")</f>
        <v/>
      </c>
    </row>
    <row r="153" spans="1:11" x14ac:dyDescent="0.45">
      <c r="A153" s="61" t="s">
        <v>1120</v>
      </c>
      <c r="B153" s="48" t="s">
        <v>105</v>
      </c>
      <c r="C153" s="55" t="s">
        <v>1121</v>
      </c>
      <c r="D153" s="62" t="s">
        <v>468</v>
      </c>
      <c r="E153" s="63" t="s">
        <v>827</v>
      </c>
      <c r="F153" s="63"/>
      <c r="G153" s="64"/>
      <c r="H153" s="47" t="str">
        <f t="shared" ca="1" si="2"/>
        <v/>
      </c>
      <c r="I153" s="63"/>
      <c r="J153" s="65" t="str">
        <f>IF(AND($D153="P1",$E153&lt;&gt;"Complete",$E153&lt;&gt;"N/A"),COUNTIFS($D$6:$D153,"P1",$E$6:$E153,"&lt;&gt;Complete",$E$6:$E153,"&lt;&gt;N/A"),"")</f>
        <v/>
      </c>
      <c r="K153" s="65" t="str">
        <f>IF(AND($F153&lt;&gt;"",$F153='10. Owner View'!$C$4,$E153&lt;&gt;"Complete",$E153&lt;&gt;"N/A"),COUNTIFS($F$6:$F153,'10. Owner View'!$C$4,$E$6:$E153,"&lt;&gt;Complete",$E$6:$E153,"&lt;&gt;N/A"),"")</f>
        <v/>
      </c>
    </row>
    <row r="154" spans="1:11" x14ac:dyDescent="0.45">
      <c r="A154" s="61" t="s">
        <v>1122</v>
      </c>
      <c r="B154" s="48" t="s">
        <v>106</v>
      </c>
      <c r="C154" s="55" t="s">
        <v>1123</v>
      </c>
      <c r="D154" s="62" t="s">
        <v>402</v>
      </c>
      <c r="E154" s="63" t="s">
        <v>827</v>
      </c>
      <c r="F154" s="63"/>
      <c r="G154" s="64"/>
      <c r="H154" s="47" t="str">
        <f t="shared" ca="1" si="2"/>
        <v/>
      </c>
      <c r="I154" s="63"/>
      <c r="J154" s="65" t="str">
        <f>IF(AND($D154="P1",$E154&lt;&gt;"Complete",$E154&lt;&gt;"N/A"),COUNTIFS($D$6:$D154,"P1",$E$6:$E154,"&lt;&gt;Complete",$E$6:$E154,"&lt;&gt;N/A"),"")</f>
        <v/>
      </c>
      <c r="K154" s="65" t="str">
        <f>IF(AND($F154&lt;&gt;"",$F154='10. Owner View'!$C$4,$E154&lt;&gt;"Complete",$E154&lt;&gt;"N/A"),COUNTIFS($F$6:$F154,'10. Owner View'!$C$4,$E$6:$E154,"&lt;&gt;Complete",$E$6:$E154,"&lt;&gt;N/A"),"")</f>
        <v/>
      </c>
    </row>
    <row r="155" spans="1:11" x14ac:dyDescent="0.45">
      <c r="A155" s="61" t="s">
        <v>1124</v>
      </c>
      <c r="B155" s="48" t="s">
        <v>106</v>
      </c>
      <c r="C155" s="55" t="s">
        <v>1125</v>
      </c>
      <c r="D155" s="62" t="s">
        <v>358</v>
      </c>
      <c r="E155" s="63" t="s">
        <v>827</v>
      </c>
      <c r="F155" s="63"/>
      <c r="G155" s="64"/>
      <c r="H155" s="47" t="str">
        <f t="shared" ca="1" si="2"/>
        <v/>
      </c>
      <c r="I155" s="63"/>
      <c r="J155" s="65">
        <f>IF(AND($D155="P1",$E155&lt;&gt;"Complete",$E155&lt;&gt;"N/A"),COUNTIFS($D$6:$D155,"P1",$E$6:$E155,"&lt;&gt;Complete",$E$6:$E155,"&lt;&gt;N/A"),"")</f>
        <v>54</v>
      </c>
      <c r="K155" s="65" t="str">
        <f>IF(AND($F155&lt;&gt;"",$F155='10. Owner View'!$C$4,$E155&lt;&gt;"Complete",$E155&lt;&gt;"N/A"),COUNTIFS($F$6:$F155,'10. Owner View'!$C$4,$E$6:$E155,"&lt;&gt;Complete",$E$6:$E155,"&lt;&gt;N/A"),"")</f>
        <v/>
      </c>
    </row>
    <row r="156" spans="1:11" x14ac:dyDescent="0.45">
      <c r="A156" s="61" t="s">
        <v>1126</v>
      </c>
      <c r="B156" s="48" t="s">
        <v>106</v>
      </c>
      <c r="C156" s="55" t="s">
        <v>1127</v>
      </c>
      <c r="D156" s="62" t="s">
        <v>402</v>
      </c>
      <c r="E156" s="63" t="s">
        <v>827</v>
      </c>
      <c r="F156" s="63"/>
      <c r="G156" s="64"/>
      <c r="H156" s="47" t="str">
        <f t="shared" ca="1" si="2"/>
        <v/>
      </c>
      <c r="I156" s="63"/>
      <c r="J156" s="65" t="str">
        <f>IF(AND($D156="P1",$E156&lt;&gt;"Complete",$E156&lt;&gt;"N/A"),COUNTIFS($D$6:$D156,"P1",$E$6:$E156,"&lt;&gt;Complete",$E$6:$E156,"&lt;&gt;N/A"),"")</f>
        <v/>
      </c>
      <c r="K156" s="65" t="str">
        <f>IF(AND($F156&lt;&gt;"",$F156='10. Owner View'!$C$4,$E156&lt;&gt;"Complete",$E156&lt;&gt;"N/A"),COUNTIFS($F$6:$F156,'10. Owner View'!$C$4,$E$6:$E156,"&lt;&gt;Complete",$E$6:$E156,"&lt;&gt;N/A"),"")</f>
        <v/>
      </c>
    </row>
    <row r="157" spans="1:11" x14ac:dyDescent="0.45">
      <c r="A157" s="61" t="s">
        <v>1128</v>
      </c>
      <c r="B157" s="48" t="s">
        <v>106</v>
      </c>
      <c r="C157" s="55" t="s">
        <v>1129</v>
      </c>
      <c r="D157" s="62" t="s">
        <v>402</v>
      </c>
      <c r="E157" s="63" t="s">
        <v>827</v>
      </c>
      <c r="F157" s="63"/>
      <c r="G157" s="64"/>
      <c r="H157" s="47" t="str">
        <f t="shared" ca="1" si="2"/>
        <v/>
      </c>
      <c r="I157" s="63"/>
      <c r="J157" s="65" t="str">
        <f>IF(AND($D157="P1",$E157&lt;&gt;"Complete",$E157&lt;&gt;"N/A"),COUNTIFS($D$6:$D157,"P1",$E$6:$E157,"&lt;&gt;Complete",$E$6:$E157,"&lt;&gt;N/A"),"")</f>
        <v/>
      </c>
      <c r="K157" s="65" t="str">
        <f>IF(AND($F157&lt;&gt;"",$F157='10. Owner View'!$C$4,$E157&lt;&gt;"Complete",$E157&lt;&gt;"N/A"),COUNTIFS($F$6:$F157,'10. Owner View'!$C$4,$E$6:$E157,"&lt;&gt;Complete",$E$6:$E157,"&lt;&gt;N/A"),"")</f>
        <v/>
      </c>
    </row>
    <row r="158" spans="1:11" x14ac:dyDescent="0.45">
      <c r="A158" s="61" t="s">
        <v>1130</v>
      </c>
      <c r="B158" s="48" t="s">
        <v>106</v>
      </c>
      <c r="C158" s="55" t="s">
        <v>1131</v>
      </c>
      <c r="D158" s="62" t="s">
        <v>402</v>
      </c>
      <c r="E158" s="63" t="s">
        <v>827</v>
      </c>
      <c r="F158" s="63"/>
      <c r="G158" s="64"/>
      <c r="H158" s="47" t="str">
        <f t="shared" ca="1" si="2"/>
        <v/>
      </c>
      <c r="I158" s="63"/>
      <c r="J158" s="65" t="str">
        <f>IF(AND($D158="P1",$E158&lt;&gt;"Complete",$E158&lt;&gt;"N/A"),COUNTIFS($D$6:$D158,"P1",$E$6:$E158,"&lt;&gt;Complete",$E$6:$E158,"&lt;&gt;N/A"),"")</f>
        <v/>
      </c>
      <c r="K158" s="65" t="str">
        <f>IF(AND($F158&lt;&gt;"",$F158='10. Owner View'!$C$4,$E158&lt;&gt;"Complete",$E158&lt;&gt;"N/A"),COUNTIFS($F$6:$F158,'10. Owner View'!$C$4,$E$6:$E158,"&lt;&gt;Complete",$E$6:$E158,"&lt;&gt;N/A"),"")</f>
        <v/>
      </c>
    </row>
    <row r="159" spans="1:11" x14ac:dyDescent="0.45">
      <c r="A159" s="61" t="s">
        <v>1132</v>
      </c>
      <c r="B159" s="48" t="s">
        <v>106</v>
      </c>
      <c r="C159" s="55" t="s">
        <v>1133</v>
      </c>
      <c r="D159" s="62" t="s">
        <v>402</v>
      </c>
      <c r="E159" s="63" t="s">
        <v>827</v>
      </c>
      <c r="F159" s="63"/>
      <c r="G159" s="64"/>
      <c r="H159" s="47" t="str">
        <f t="shared" ca="1" si="2"/>
        <v/>
      </c>
      <c r="I159" s="63"/>
      <c r="J159" s="65" t="str">
        <f>IF(AND($D159="P1",$E159&lt;&gt;"Complete",$E159&lt;&gt;"N/A"),COUNTIFS($D$6:$D159,"P1",$E$6:$E159,"&lt;&gt;Complete",$E$6:$E159,"&lt;&gt;N/A"),"")</f>
        <v/>
      </c>
      <c r="K159" s="65" t="str">
        <f>IF(AND($F159&lt;&gt;"",$F159='10. Owner View'!$C$4,$E159&lt;&gt;"Complete",$E159&lt;&gt;"N/A"),COUNTIFS($F$6:$F159,'10. Owner View'!$C$4,$E$6:$E159,"&lt;&gt;Complete",$E$6:$E159,"&lt;&gt;N/A"),"")</f>
        <v/>
      </c>
    </row>
    <row r="160" spans="1:11" x14ac:dyDescent="0.45">
      <c r="A160" s="61" t="s">
        <v>1134</v>
      </c>
      <c r="B160" s="48" t="s">
        <v>106</v>
      </c>
      <c r="C160" s="55" t="s">
        <v>1135</v>
      </c>
      <c r="D160" s="62" t="s">
        <v>402</v>
      </c>
      <c r="E160" s="63" t="s">
        <v>827</v>
      </c>
      <c r="F160" s="63"/>
      <c r="G160" s="64"/>
      <c r="H160" s="47" t="str">
        <f t="shared" ca="1" si="2"/>
        <v/>
      </c>
      <c r="I160" s="63"/>
      <c r="J160" s="65" t="str">
        <f>IF(AND($D160="P1",$E160&lt;&gt;"Complete",$E160&lt;&gt;"N/A"),COUNTIFS($D$6:$D160,"P1",$E$6:$E160,"&lt;&gt;Complete",$E$6:$E160,"&lt;&gt;N/A"),"")</f>
        <v/>
      </c>
      <c r="K160" s="65" t="str">
        <f>IF(AND($F160&lt;&gt;"",$F160='10. Owner View'!$C$4,$E160&lt;&gt;"Complete",$E160&lt;&gt;"N/A"),COUNTIFS($F$6:$F160,'10. Owner View'!$C$4,$E$6:$E160,"&lt;&gt;Complete",$E$6:$E160,"&lt;&gt;N/A"),"")</f>
        <v/>
      </c>
    </row>
    <row r="161" spans="1:11" x14ac:dyDescent="0.45">
      <c r="A161" s="61" t="s">
        <v>1136</v>
      </c>
      <c r="B161" s="48" t="s">
        <v>106</v>
      </c>
      <c r="C161" s="55" t="s">
        <v>1137</v>
      </c>
      <c r="D161" s="62" t="s">
        <v>358</v>
      </c>
      <c r="E161" s="63" t="s">
        <v>827</v>
      </c>
      <c r="F161" s="63"/>
      <c r="G161" s="64"/>
      <c r="H161" s="47" t="str">
        <f t="shared" ca="1" si="2"/>
        <v/>
      </c>
      <c r="I161" s="63"/>
      <c r="J161" s="65">
        <f>IF(AND($D161="P1",$E161&lt;&gt;"Complete",$E161&lt;&gt;"N/A"),COUNTIFS($D$6:$D161,"P1",$E$6:$E161,"&lt;&gt;Complete",$E$6:$E161,"&lt;&gt;N/A"),"")</f>
        <v>55</v>
      </c>
      <c r="K161" s="65" t="str">
        <f>IF(AND($F161&lt;&gt;"",$F161='10. Owner View'!$C$4,$E161&lt;&gt;"Complete",$E161&lt;&gt;"N/A"),COUNTIFS($F$6:$F161,'10. Owner View'!$C$4,$E$6:$E161,"&lt;&gt;Complete",$E$6:$E161,"&lt;&gt;N/A"),"")</f>
        <v/>
      </c>
    </row>
    <row r="162" spans="1:11" x14ac:dyDescent="0.45">
      <c r="A162" s="61" t="s">
        <v>1138</v>
      </c>
      <c r="B162" s="48" t="s">
        <v>106</v>
      </c>
      <c r="C162" s="55" t="s">
        <v>1139</v>
      </c>
      <c r="D162" s="62" t="s">
        <v>402</v>
      </c>
      <c r="E162" s="63" t="s">
        <v>827</v>
      </c>
      <c r="F162" s="63"/>
      <c r="G162" s="64"/>
      <c r="H162" s="47" t="str">
        <f t="shared" ca="1" si="2"/>
        <v/>
      </c>
      <c r="I162" s="63"/>
      <c r="J162" s="65" t="str">
        <f>IF(AND($D162="P1",$E162&lt;&gt;"Complete",$E162&lt;&gt;"N/A"),COUNTIFS($D$6:$D162,"P1",$E$6:$E162,"&lt;&gt;Complete",$E$6:$E162,"&lt;&gt;N/A"),"")</f>
        <v/>
      </c>
      <c r="K162" s="65" t="str">
        <f>IF(AND($F162&lt;&gt;"",$F162='10. Owner View'!$C$4,$E162&lt;&gt;"Complete",$E162&lt;&gt;"N/A"),COUNTIFS($F$6:$F162,'10. Owner View'!$C$4,$E$6:$E162,"&lt;&gt;Complete",$E$6:$E162,"&lt;&gt;N/A"),"")</f>
        <v/>
      </c>
    </row>
    <row r="163" spans="1:11" x14ac:dyDescent="0.45">
      <c r="A163" s="61" t="s">
        <v>1140</v>
      </c>
      <c r="B163" s="48" t="s">
        <v>106</v>
      </c>
      <c r="C163" s="55" t="s">
        <v>1141</v>
      </c>
      <c r="D163" s="62" t="s">
        <v>358</v>
      </c>
      <c r="E163" s="63" t="s">
        <v>827</v>
      </c>
      <c r="F163" s="63"/>
      <c r="G163" s="64"/>
      <c r="H163" s="47" t="str">
        <f t="shared" ca="1" si="2"/>
        <v/>
      </c>
      <c r="I163" s="63"/>
      <c r="J163" s="65">
        <f>IF(AND($D163="P1",$E163&lt;&gt;"Complete",$E163&lt;&gt;"N/A"),COUNTIFS($D$6:$D163,"P1",$E$6:$E163,"&lt;&gt;Complete",$E$6:$E163,"&lt;&gt;N/A"),"")</f>
        <v>56</v>
      </c>
      <c r="K163" s="65" t="str">
        <f>IF(AND($F163&lt;&gt;"",$F163='10. Owner View'!$C$4,$E163&lt;&gt;"Complete",$E163&lt;&gt;"N/A"),COUNTIFS($F$6:$F163,'10. Owner View'!$C$4,$E$6:$E163,"&lt;&gt;Complete",$E$6:$E163,"&lt;&gt;N/A"),"")</f>
        <v/>
      </c>
    </row>
    <row r="164" spans="1:11" x14ac:dyDescent="0.45">
      <c r="A164" s="61" t="s">
        <v>1142</v>
      </c>
      <c r="B164" s="48" t="s">
        <v>106</v>
      </c>
      <c r="C164" s="55" t="s">
        <v>1143</v>
      </c>
      <c r="D164" s="62" t="s">
        <v>358</v>
      </c>
      <c r="E164" s="63" t="s">
        <v>827</v>
      </c>
      <c r="F164" s="63"/>
      <c r="G164" s="64"/>
      <c r="H164" s="47" t="str">
        <f t="shared" ca="1" si="2"/>
        <v/>
      </c>
      <c r="I164" s="63"/>
      <c r="J164" s="65">
        <f>IF(AND($D164="P1",$E164&lt;&gt;"Complete",$E164&lt;&gt;"N/A"),COUNTIFS($D$6:$D164,"P1",$E$6:$E164,"&lt;&gt;Complete",$E$6:$E164,"&lt;&gt;N/A"),"")</f>
        <v>57</v>
      </c>
      <c r="K164" s="65" t="str">
        <f>IF(AND($F164&lt;&gt;"",$F164='10. Owner View'!$C$4,$E164&lt;&gt;"Complete",$E164&lt;&gt;"N/A"),COUNTIFS($F$6:$F164,'10. Owner View'!$C$4,$E$6:$E164,"&lt;&gt;Complete",$E$6:$E164,"&lt;&gt;N/A"),"")</f>
        <v/>
      </c>
    </row>
    <row r="165" spans="1:11" x14ac:dyDescent="0.45">
      <c r="A165" s="61" t="s">
        <v>1144</v>
      </c>
      <c r="B165" s="48" t="s">
        <v>106</v>
      </c>
      <c r="C165" s="55" t="s">
        <v>1145</v>
      </c>
      <c r="D165" s="62" t="s">
        <v>402</v>
      </c>
      <c r="E165" s="63" t="s">
        <v>827</v>
      </c>
      <c r="F165" s="63"/>
      <c r="G165" s="64"/>
      <c r="H165" s="47" t="str">
        <f t="shared" ca="1" si="2"/>
        <v/>
      </c>
      <c r="I165" s="63"/>
      <c r="J165" s="65" t="str">
        <f>IF(AND($D165="P1",$E165&lt;&gt;"Complete",$E165&lt;&gt;"N/A"),COUNTIFS($D$6:$D165,"P1",$E$6:$E165,"&lt;&gt;Complete",$E$6:$E165,"&lt;&gt;N/A"),"")</f>
        <v/>
      </c>
      <c r="K165" s="65" t="str">
        <f>IF(AND($F165&lt;&gt;"",$F165='10. Owner View'!$C$4,$E165&lt;&gt;"Complete",$E165&lt;&gt;"N/A"),COUNTIFS($F$6:$F165,'10. Owner View'!$C$4,$E$6:$E165,"&lt;&gt;Complete",$E$6:$E165,"&lt;&gt;N/A"),"")</f>
        <v/>
      </c>
    </row>
    <row r="166" spans="1:11" x14ac:dyDescent="0.45">
      <c r="A166" s="61" t="s">
        <v>1146</v>
      </c>
      <c r="B166" s="48" t="s">
        <v>106</v>
      </c>
      <c r="C166" s="55" t="s">
        <v>1147</v>
      </c>
      <c r="D166" s="62" t="s">
        <v>402</v>
      </c>
      <c r="E166" s="63" t="s">
        <v>827</v>
      </c>
      <c r="F166" s="63"/>
      <c r="G166" s="64"/>
      <c r="H166" s="47" t="str">
        <f t="shared" ca="1" si="2"/>
        <v/>
      </c>
      <c r="I166" s="63"/>
      <c r="J166" s="65" t="str">
        <f>IF(AND($D166="P1",$E166&lt;&gt;"Complete",$E166&lt;&gt;"N/A"),COUNTIFS($D$6:$D166,"P1",$E$6:$E166,"&lt;&gt;Complete",$E$6:$E166,"&lt;&gt;N/A"),"")</f>
        <v/>
      </c>
      <c r="K166" s="65" t="str">
        <f>IF(AND($F166&lt;&gt;"",$F166='10. Owner View'!$C$4,$E166&lt;&gt;"Complete",$E166&lt;&gt;"N/A"),COUNTIFS($F$6:$F166,'10. Owner View'!$C$4,$E$6:$E166,"&lt;&gt;Complete",$E$6:$E166,"&lt;&gt;N/A"),"")</f>
        <v/>
      </c>
    </row>
    <row r="167" spans="1:11" x14ac:dyDescent="0.45">
      <c r="A167" s="61" t="s">
        <v>1148</v>
      </c>
      <c r="B167" s="48" t="s">
        <v>106</v>
      </c>
      <c r="C167" s="55" t="s">
        <v>1149</v>
      </c>
      <c r="D167" s="62" t="s">
        <v>358</v>
      </c>
      <c r="E167" s="63" t="s">
        <v>827</v>
      </c>
      <c r="F167" s="63"/>
      <c r="G167" s="64"/>
      <c r="H167" s="47" t="str">
        <f t="shared" ca="1" si="2"/>
        <v/>
      </c>
      <c r="I167" s="63"/>
      <c r="J167" s="65">
        <f>IF(AND($D167="P1",$E167&lt;&gt;"Complete",$E167&lt;&gt;"N/A"),COUNTIFS($D$6:$D167,"P1",$E$6:$E167,"&lt;&gt;Complete",$E$6:$E167,"&lt;&gt;N/A"),"")</f>
        <v>58</v>
      </c>
      <c r="K167" s="65" t="str">
        <f>IF(AND($F167&lt;&gt;"",$F167='10. Owner View'!$C$4,$E167&lt;&gt;"Complete",$E167&lt;&gt;"N/A"),COUNTIFS($F$6:$F167,'10. Owner View'!$C$4,$E$6:$E167,"&lt;&gt;Complete",$E$6:$E167,"&lt;&gt;N/A"),"")</f>
        <v/>
      </c>
    </row>
    <row r="168" spans="1:11" x14ac:dyDescent="0.45">
      <c r="A168" s="61" t="s">
        <v>1150</v>
      </c>
      <c r="B168" s="48" t="s">
        <v>106</v>
      </c>
      <c r="C168" s="55" t="s">
        <v>1151</v>
      </c>
      <c r="D168" s="62" t="s">
        <v>402</v>
      </c>
      <c r="E168" s="63" t="s">
        <v>827</v>
      </c>
      <c r="F168" s="63"/>
      <c r="G168" s="64"/>
      <c r="H168" s="47" t="str">
        <f t="shared" ca="1" si="2"/>
        <v/>
      </c>
      <c r="I168" s="63"/>
      <c r="J168" s="65" t="str">
        <f>IF(AND($D168="P1",$E168&lt;&gt;"Complete",$E168&lt;&gt;"N/A"),COUNTIFS($D$6:$D168,"P1",$E$6:$E168,"&lt;&gt;Complete",$E$6:$E168,"&lt;&gt;N/A"),"")</f>
        <v/>
      </c>
      <c r="K168" s="65" t="str">
        <f>IF(AND($F168&lt;&gt;"",$F168='10. Owner View'!$C$4,$E168&lt;&gt;"Complete",$E168&lt;&gt;"N/A"),COUNTIFS($F$6:$F168,'10. Owner View'!$C$4,$E$6:$E168,"&lt;&gt;Complete",$E$6:$E168,"&lt;&gt;N/A"),"")</f>
        <v/>
      </c>
    </row>
    <row r="169" spans="1:11" x14ac:dyDescent="0.45">
      <c r="A169" s="61" t="s">
        <v>1152</v>
      </c>
      <c r="B169" s="48" t="s">
        <v>106</v>
      </c>
      <c r="C169" s="55" t="s">
        <v>1153</v>
      </c>
      <c r="D169" s="62" t="s">
        <v>402</v>
      </c>
      <c r="E169" s="63" t="s">
        <v>827</v>
      </c>
      <c r="F169" s="63"/>
      <c r="G169" s="64"/>
      <c r="H169" s="47" t="str">
        <f t="shared" ca="1" si="2"/>
        <v/>
      </c>
      <c r="I169" s="63"/>
      <c r="J169" s="65" t="str">
        <f>IF(AND($D169="P1",$E169&lt;&gt;"Complete",$E169&lt;&gt;"N/A"),COUNTIFS($D$6:$D169,"P1",$E$6:$E169,"&lt;&gt;Complete",$E$6:$E169,"&lt;&gt;N/A"),"")</f>
        <v/>
      </c>
      <c r="K169" s="65" t="str">
        <f>IF(AND($F169&lt;&gt;"",$F169='10. Owner View'!$C$4,$E169&lt;&gt;"Complete",$E169&lt;&gt;"N/A"),COUNTIFS($F$6:$F169,'10. Owner View'!$C$4,$E$6:$E169,"&lt;&gt;Complete",$E$6:$E169,"&lt;&gt;N/A"),"")</f>
        <v/>
      </c>
    </row>
    <row r="170" spans="1:11" x14ac:dyDescent="0.45">
      <c r="A170" s="61" t="s">
        <v>1154</v>
      </c>
      <c r="B170" s="48" t="s">
        <v>107</v>
      </c>
      <c r="C170" s="55" t="s">
        <v>1155</v>
      </c>
      <c r="D170" s="62" t="s">
        <v>358</v>
      </c>
      <c r="E170" s="63" t="s">
        <v>827</v>
      </c>
      <c r="F170" s="63"/>
      <c r="G170" s="64"/>
      <c r="H170" s="47" t="str">
        <f t="shared" ca="1" si="2"/>
        <v/>
      </c>
      <c r="I170" s="63"/>
      <c r="J170" s="65">
        <f>IF(AND($D170="P1",$E170&lt;&gt;"Complete",$E170&lt;&gt;"N/A"),COUNTIFS($D$6:$D170,"P1",$E$6:$E170,"&lt;&gt;Complete",$E$6:$E170,"&lt;&gt;N/A"),"")</f>
        <v>59</v>
      </c>
      <c r="K170" s="65" t="str">
        <f>IF(AND($F170&lt;&gt;"",$F170='10. Owner View'!$C$4,$E170&lt;&gt;"Complete",$E170&lt;&gt;"N/A"),COUNTIFS($F$6:$F170,'10. Owner View'!$C$4,$E$6:$E170,"&lt;&gt;Complete",$E$6:$E170,"&lt;&gt;N/A"),"")</f>
        <v/>
      </c>
    </row>
    <row r="171" spans="1:11" x14ac:dyDescent="0.45">
      <c r="A171" s="61" t="s">
        <v>1156</v>
      </c>
      <c r="B171" s="48" t="s">
        <v>107</v>
      </c>
      <c r="C171" s="55" t="s">
        <v>1157</v>
      </c>
      <c r="D171" s="62" t="s">
        <v>402</v>
      </c>
      <c r="E171" s="63" t="s">
        <v>827</v>
      </c>
      <c r="F171" s="63"/>
      <c r="G171" s="64"/>
      <c r="H171" s="47" t="str">
        <f t="shared" ca="1" si="2"/>
        <v/>
      </c>
      <c r="I171" s="63"/>
      <c r="J171" s="65" t="str">
        <f>IF(AND($D171="P1",$E171&lt;&gt;"Complete",$E171&lt;&gt;"N/A"),COUNTIFS($D$6:$D171,"P1",$E$6:$E171,"&lt;&gt;Complete",$E$6:$E171,"&lt;&gt;N/A"),"")</f>
        <v/>
      </c>
      <c r="K171" s="65" t="str">
        <f>IF(AND($F171&lt;&gt;"",$F171='10. Owner View'!$C$4,$E171&lt;&gt;"Complete",$E171&lt;&gt;"N/A"),COUNTIFS($F$6:$F171,'10. Owner View'!$C$4,$E$6:$E171,"&lt;&gt;Complete",$E$6:$E171,"&lt;&gt;N/A"),"")</f>
        <v/>
      </c>
    </row>
    <row r="172" spans="1:11" x14ac:dyDescent="0.45">
      <c r="A172" s="61" t="s">
        <v>1158</v>
      </c>
      <c r="B172" s="48" t="s">
        <v>107</v>
      </c>
      <c r="C172" s="55" t="s">
        <v>1159</v>
      </c>
      <c r="D172" s="62" t="s">
        <v>402</v>
      </c>
      <c r="E172" s="63" t="s">
        <v>827</v>
      </c>
      <c r="F172" s="63"/>
      <c r="G172" s="64"/>
      <c r="H172" s="47" t="str">
        <f t="shared" ca="1" si="2"/>
        <v/>
      </c>
      <c r="I172" s="63"/>
      <c r="J172" s="65" t="str">
        <f>IF(AND($D172="P1",$E172&lt;&gt;"Complete",$E172&lt;&gt;"N/A"),COUNTIFS($D$6:$D172,"P1",$E$6:$E172,"&lt;&gt;Complete",$E$6:$E172,"&lt;&gt;N/A"),"")</f>
        <v/>
      </c>
      <c r="K172" s="65" t="str">
        <f>IF(AND($F172&lt;&gt;"",$F172='10. Owner View'!$C$4,$E172&lt;&gt;"Complete",$E172&lt;&gt;"N/A"),COUNTIFS($F$6:$F172,'10. Owner View'!$C$4,$E$6:$E172,"&lt;&gt;Complete",$E$6:$E172,"&lt;&gt;N/A"),"")</f>
        <v/>
      </c>
    </row>
    <row r="173" spans="1:11" x14ac:dyDescent="0.45">
      <c r="A173" s="61" t="s">
        <v>1160</v>
      </c>
      <c r="B173" s="48" t="s">
        <v>107</v>
      </c>
      <c r="C173" s="55" t="s">
        <v>1161</v>
      </c>
      <c r="D173" s="62" t="s">
        <v>402</v>
      </c>
      <c r="E173" s="63" t="s">
        <v>827</v>
      </c>
      <c r="F173" s="63"/>
      <c r="G173" s="64"/>
      <c r="H173" s="47" t="str">
        <f t="shared" ca="1" si="2"/>
        <v/>
      </c>
      <c r="I173" s="63"/>
      <c r="J173" s="65" t="str">
        <f>IF(AND($D173="P1",$E173&lt;&gt;"Complete",$E173&lt;&gt;"N/A"),COUNTIFS($D$6:$D173,"P1",$E$6:$E173,"&lt;&gt;Complete",$E$6:$E173,"&lt;&gt;N/A"),"")</f>
        <v/>
      </c>
      <c r="K173" s="65" t="str">
        <f>IF(AND($F173&lt;&gt;"",$F173='10. Owner View'!$C$4,$E173&lt;&gt;"Complete",$E173&lt;&gt;"N/A"),COUNTIFS($F$6:$F173,'10. Owner View'!$C$4,$E$6:$E173,"&lt;&gt;Complete",$E$6:$E173,"&lt;&gt;N/A"),"")</f>
        <v/>
      </c>
    </row>
    <row r="174" spans="1:11" x14ac:dyDescent="0.45">
      <c r="A174" s="61" t="s">
        <v>1162</v>
      </c>
      <c r="B174" s="48" t="s">
        <v>107</v>
      </c>
      <c r="C174" s="55" t="s">
        <v>1163</v>
      </c>
      <c r="D174" s="62" t="s">
        <v>358</v>
      </c>
      <c r="E174" s="63" t="s">
        <v>827</v>
      </c>
      <c r="F174" s="63"/>
      <c r="G174" s="64"/>
      <c r="H174" s="47" t="str">
        <f t="shared" ca="1" si="2"/>
        <v/>
      </c>
      <c r="I174" s="63"/>
      <c r="J174" s="65">
        <f>IF(AND($D174="P1",$E174&lt;&gt;"Complete",$E174&lt;&gt;"N/A"),COUNTIFS($D$6:$D174,"P1",$E$6:$E174,"&lt;&gt;Complete",$E$6:$E174,"&lt;&gt;N/A"),"")</f>
        <v>60</v>
      </c>
      <c r="K174" s="65" t="str">
        <f>IF(AND($F174&lt;&gt;"",$F174='10. Owner View'!$C$4,$E174&lt;&gt;"Complete",$E174&lt;&gt;"N/A"),COUNTIFS($F$6:$F174,'10. Owner View'!$C$4,$E$6:$E174,"&lt;&gt;Complete",$E$6:$E174,"&lt;&gt;N/A"),"")</f>
        <v/>
      </c>
    </row>
    <row r="175" spans="1:11" x14ac:dyDescent="0.45">
      <c r="A175" s="61" t="s">
        <v>1164</v>
      </c>
      <c r="B175" s="48" t="s">
        <v>107</v>
      </c>
      <c r="C175" s="55" t="s">
        <v>1165</v>
      </c>
      <c r="D175" s="62" t="s">
        <v>402</v>
      </c>
      <c r="E175" s="63" t="s">
        <v>827</v>
      </c>
      <c r="F175" s="63"/>
      <c r="G175" s="64"/>
      <c r="H175" s="47" t="str">
        <f t="shared" ca="1" si="2"/>
        <v/>
      </c>
      <c r="I175" s="63"/>
      <c r="J175" s="65" t="str">
        <f>IF(AND($D175="P1",$E175&lt;&gt;"Complete",$E175&lt;&gt;"N/A"),COUNTIFS($D$6:$D175,"P1",$E$6:$E175,"&lt;&gt;Complete",$E$6:$E175,"&lt;&gt;N/A"),"")</f>
        <v/>
      </c>
      <c r="K175" s="65" t="str">
        <f>IF(AND($F175&lt;&gt;"",$F175='10. Owner View'!$C$4,$E175&lt;&gt;"Complete",$E175&lt;&gt;"N/A"),COUNTIFS($F$6:$F175,'10. Owner View'!$C$4,$E$6:$E175,"&lt;&gt;Complete",$E$6:$E175,"&lt;&gt;N/A"),"")</f>
        <v/>
      </c>
    </row>
    <row r="176" spans="1:11" x14ac:dyDescent="0.45">
      <c r="A176" s="61" t="s">
        <v>1166</v>
      </c>
      <c r="B176" s="48" t="s">
        <v>107</v>
      </c>
      <c r="C176" s="55" t="s">
        <v>1167</v>
      </c>
      <c r="D176" s="62" t="s">
        <v>402</v>
      </c>
      <c r="E176" s="63" t="s">
        <v>827</v>
      </c>
      <c r="F176" s="63"/>
      <c r="G176" s="64"/>
      <c r="H176" s="47" t="str">
        <f t="shared" ca="1" si="2"/>
        <v/>
      </c>
      <c r="I176" s="63"/>
      <c r="J176" s="65" t="str">
        <f>IF(AND($D176="P1",$E176&lt;&gt;"Complete",$E176&lt;&gt;"N/A"),COUNTIFS($D$6:$D176,"P1",$E$6:$E176,"&lt;&gt;Complete",$E$6:$E176,"&lt;&gt;N/A"),"")</f>
        <v/>
      </c>
      <c r="K176" s="65" t="str">
        <f>IF(AND($F176&lt;&gt;"",$F176='10. Owner View'!$C$4,$E176&lt;&gt;"Complete",$E176&lt;&gt;"N/A"),COUNTIFS($F$6:$F176,'10. Owner View'!$C$4,$E$6:$E176,"&lt;&gt;Complete",$E$6:$E176,"&lt;&gt;N/A"),"")</f>
        <v/>
      </c>
    </row>
    <row r="177" spans="1:11" x14ac:dyDescent="0.45">
      <c r="A177" s="61" t="s">
        <v>1168</v>
      </c>
      <c r="B177" s="48" t="s">
        <v>107</v>
      </c>
      <c r="C177" s="55" t="s">
        <v>1169</v>
      </c>
      <c r="D177" s="62" t="s">
        <v>402</v>
      </c>
      <c r="E177" s="63" t="s">
        <v>827</v>
      </c>
      <c r="F177" s="63"/>
      <c r="G177" s="64"/>
      <c r="H177" s="47" t="str">
        <f t="shared" ca="1" si="2"/>
        <v/>
      </c>
      <c r="I177" s="63"/>
      <c r="J177" s="65" t="str">
        <f>IF(AND($D177="P1",$E177&lt;&gt;"Complete",$E177&lt;&gt;"N/A"),COUNTIFS($D$6:$D177,"P1",$E$6:$E177,"&lt;&gt;Complete",$E$6:$E177,"&lt;&gt;N/A"),"")</f>
        <v/>
      </c>
      <c r="K177" s="65" t="str">
        <f>IF(AND($F177&lt;&gt;"",$F177='10. Owner View'!$C$4,$E177&lt;&gt;"Complete",$E177&lt;&gt;"N/A"),COUNTIFS($F$6:$F177,'10. Owner View'!$C$4,$E$6:$E177,"&lt;&gt;Complete",$E$6:$E177,"&lt;&gt;N/A"),"")</f>
        <v/>
      </c>
    </row>
    <row r="178" spans="1:11" x14ac:dyDescent="0.45">
      <c r="A178" s="61" t="s">
        <v>1170</v>
      </c>
      <c r="B178" s="48" t="s">
        <v>107</v>
      </c>
      <c r="C178" s="55" t="s">
        <v>1171</v>
      </c>
      <c r="D178" s="62" t="s">
        <v>468</v>
      </c>
      <c r="E178" s="63" t="s">
        <v>827</v>
      </c>
      <c r="F178" s="63"/>
      <c r="G178" s="64"/>
      <c r="H178" s="47" t="str">
        <f t="shared" ca="1" si="2"/>
        <v/>
      </c>
      <c r="I178" s="63"/>
      <c r="J178" s="65" t="str">
        <f>IF(AND($D178="P1",$E178&lt;&gt;"Complete",$E178&lt;&gt;"N/A"),COUNTIFS($D$6:$D178,"P1",$E$6:$E178,"&lt;&gt;Complete",$E$6:$E178,"&lt;&gt;N/A"),"")</f>
        <v/>
      </c>
      <c r="K178" s="65" t="str">
        <f>IF(AND($F178&lt;&gt;"",$F178='10. Owner View'!$C$4,$E178&lt;&gt;"Complete",$E178&lt;&gt;"N/A"),COUNTIFS($F$6:$F178,'10. Owner View'!$C$4,$E$6:$E178,"&lt;&gt;Complete",$E$6:$E178,"&lt;&gt;N/A"),"")</f>
        <v/>
      </c>
    </row>
    <row r="179" spans="1:11" x14ac:dyDescent="0.45">
      <c r="A179" s="61" t="s">
        <v>1172</v>
      </c>
      <c r="B179" s="48" t="s">
        <v>107</v>
      </c>
      <c r="C179" s="55" t="s">
        <v>1173</v>
      </c>
      <c r="D179" s="62" t="s">
        <v>468</v>
      </c>
      <c r="E179" s="63" t="s">
        <v>827</v>
      </c>
      <c r="F179" s="63"/>
      <c r="G179" s="64"/>
      <c r="H179" s="47" t="str">
        <f t="shared" ca="1" si="2"/>
        <v/>
      </c>
      <c r="I179" s="63"/>
      <c r="J179" s="65" t="str">
        <f>IF(AND($D179="P1",$E179&lt;&gt;"Complete",$E179&lt;&gt;"N/A"),COUNTIFS($D$6:$D179,"P1",$E$6:$E179,"&lt;&gt;Complete",$E$6:$E179,"&lt;&gt;N/A"),"")</f>
        <v/>
      </c>
      <c r="K179" s="65" t="str">
        <f>IF(AND($F179&lt;&gt;"",$F179='10. Owner View'!$C$4,$E179&lt;&gt;"Complete",$E179&lt;&gt;"N/A"),COUNTIFS($F$6:$F179,'10. Owner View'!$C$4,$E$6:$E179,"&lt;&gt;Complete",$E$6:$E179,"&lt;&gt;N/A"),"")</f>
        <v/>
      </c>
    </row>
    <row r="180" spans="1:11" x14ac:dyDescent="0.45">
      <c r="A180" s="61" t="s">
        <v>1174</v>
      </c>
      <c r="B180" s="48" t="s">
        <v>107</v>
      </c>
      <c r="C180" s="55" t="s">
        <v>1175</v>
      </c>
      <c r="D180" s="62" t="s">
        <v>402</v>
      </c>
      <c r="E180" s="63" t="s">
        <v>827</v>
      </c>
      <c r="F180" s="63"/>
      <c r="G180" s="64"/>
      <c r="H180" s="47" t="str">
        <f t="shared" ca="1" si="2"/>
        <v/>
      </c>
      <c r="I180" s="63"/>
      <c r="J180" s="65" t="str">
        <f>IF(AND($D180="P1",$E180&lt;&gt;"Complete",$E180&lt;&gt;"N/A"),COUNTIFS($D$6:$D180,"P1",$E$6:$E180,"&lt;&gt;Complete",$E$6:$E180,"&lt;&gt;N/A"),"")</f>
        <v/>
      </c>
      <c r="K180" s="65" t="str">
        <f>IF(AND($F180&lt;&gt;"",$F180='10. Owner View'!$C$4,$E180&lt;&gt;"Complete",$E180&lt;&gt;"N/A"),COUNTIFS($F$6:$F180,'10. Owner View'!$C$4,$E$6:$E180,"&lt;&gt;Complete",$E$6:$E180,"&lt;&gt;N/A"),"")</f>
        <v/>
      </c>
    </row>
    <row r="181" spans="1:11" x14ac:dyDescent="0.45">
      <c r="A181" s="61" t="s">
        <v>1176</v>
      </c>
      <c r="B181" s="48" t="s">
        <v>107</v>
      </c>
      <c r="C181" s="55" t="s">
        <v>1177</v>
      </c>
      <c r="D181" s="62" t="s">
        <v>402</v>
      </c>
      <c r="E181" s="63" t="s">
        <v>827</v>
      </c>
      <c r="F181" s="63"/>
      <c r="G181" s="64"/>
      <c r="H181" s="47" t="str">
        <f t="shared" ca="1" si="2"/>
        <v/>
      </c>
      <c r="I181" s="63"/>
      <c r="J181" s="65" t="str">
        <f>IF(AND($D181="P1",$E181&lt;&gt;"Complete",$E181&lt;&gt;"N/A"),COUNTIFS($D$6:$D181,"P1",$E$6:$E181,"&lt;&gt;Complete",$E$6:$E181,"&lt;&gt;N/A"),"")</f>
        <v/>
      </c>
      <c r="K181" s="65" t="str">
        <f>IF(AND($F181&lt;&gt;"",$F181='10. Owner View'!$C$4,$E181&lt;&gt;"Complete",$E181&lt;&gt;"N/A"),COUNTIFS($F$6:$F181,'10. Owner View'!$C$4,$E$6:$E181,"&lt;&gt;Complete",$E$6:$E181,"&lt;&gt;N/A"),"")</f>
        <v/>
      </c>
    </row>
    <row r="182" spans="1:11" x14ac:dyDescent="0.45">
      <c r="A182" s="61" t="s">
        <v>1178</v>
      </c>
      <c r="B182" s="48" t="s">
        <v>107</v>
      </c>
      <c r="C182" s="55" t="s">
        <v>1179</v>
      </c>
      <c r="D182" s="62" t="s">
        <v>402</v>
      </c>
      <c r="E182" s="63" t="s">
        <v>827</v>
      </c>
      <c r="F182" s="63"/>
      <c r="G182" s="64"/>
      <c r="H182" s="47" t="str">
        <f t="shared" ca="1" si="2"/>
        <v/>
      </c>
      <c r="I182" s="63"/>
      <c r="J182" s="65" t="str">
        <f>IF(AND($D182="P1",$E182&lt;&gt;"Complete",$E182&lt;&gt;"N/A"),COUNTIFS($D$6:$D182,"P1",$E$6:$E182,"&lt;&gt;Complete",$E$6:$E182,"&lt;&gt;N/A"),"")</f>
        <v/>
      </c>
      <c r="K182" s="65" t="str">
        <f>IF(AND($F182&lt;&gt;"",$F182='10. Owner View'!$C$4,$E182&lt;&gt;"Complete",$E182&lt;&gt;"N/A"),COUNTIFS($F$6:$F182,'10. Owner View'!$C$4,$E$6:$E182,"&lt;&gt;Complete",$E$6:$E182,"&lt;&gt;N/A"),"")</f>
        <v/>
      </c>
    </row>
    <row r="183" spans="1:11" x14ac:dyDescent="0.45">
      <c r="A183" s="61" t="s">
        <v>1180</v>
      </c>
      <c r="B183" s="48" t="s">
        <v>107</v>
      </c>
      <c r="C183" s="55" t="s">
        <v>1181</v>
      </c>
      <c r="D183" s="62" t="s">
        <v>358</v>
      </c>
      <c r="E183" s="63" t="s">
        <v>827</v>
      </c>
      <c r="F183" s="63"/>
      <c r="G183" s="64"/>
      <c r="H183" s="47" t="str">
        <f t="shared" ca="1" si="2"/>
        <v/>
      </c>
      <c r="I183" s="63"/>
      <c r="J183" s="65">
        <f>IF(AND($D183="P1",$E183&lt;&gt;"Complete",$E183&lt;&gt;"N/A"),COUNTIFS($D$6:$D183,"P1",$E$6:$E183,"&lt;&gt;Complete",$E$6:$E183,"&lt;&gt;N/A"),"")</f>
        <v>61</v>
      </c>
      <c r="K183" s="65" t="str">
        <f>IF(AND($F183&lt;&gt;"",$F183='10. Owner View'!$C$4,$E183&lt;&gt;"Complete",$E183&lt;&gt;"N/A"),COUNTIFS($F$6:$F183,'10. Owner View'!$C$4,$E$6:$E183,"&lt;&gt;Complete",$E$6:$E183,"&lt;&gt;N/A"),"")</f>
        <v/>
      </c>
    </row>
    <row r="184" spans="1:11" x14ac:dyDescent="0.45">
      <c r="A184" s="61" t="s">
        <v>1182</v>
      </c>
      <c r="B184" s="48" t="s">
        <v>108</v>
      </c>
      <c r="C184" s="55" t="s">
        <v>1183</v>
      </c>
      <c r="D184" s="62" t="s">
        <v>358</v>
      </c>
      <c r="E184" s="63" t="s">
        <v>827</v>
      </c>
      <c r="F184" s="63"/>
      <c r="G184" s="64"/>
      <c r="H184" s="47" t="str">
        <f t="shared" ca="1" si="2"/>
        <v/>
      </c>
      <c r="I184" s="63"/>
      <c r="J184" s="65">
        <f>IF(AND($D184="P1",$E184&lt;&gt;"Complete",$E184&lt;&gt;"N/A"),COUNTIFS($D$6:$D184,"P1",$E$6:$E184,"&lt;&gt;Complete",$E$6:$E184,"&lt;&gt;N/A"),"")</f>
        <v>62</v>
      </c>
      <c r="K184" s="65" t="str">
        <f>IF(AND($F184&lt;&gt;"",$F184='10. Owner View'!$C$4,$E184&lt;&gt;"Complete",$E184&lt;&gt;"N/A"),COUNTIFS($F$6:$F184,'10. Owner View'!$C$4,$E$6:$E184,"&lt;&gt;Complete",$E$6:$E184,"&lt;&gt;N/A"),"")</f>
        <v/>
      </c>
    </row>
    <row r="185" spans="1:11" x14ac:dyDescent="0.45">
      <c r="A185" s="61" t="s">
        <v>1184</v>
      </c>
      <c r="B185" s="48" t="s">
        <v>108</v>
      </c>
      <c r="C185" s="55" t="s">
        <v>1185</v>
      </c>
      <c r="D185" s="62" t="s">
        <v>358</v>
      </c>
      <c r="E185" s="63" t="s">
        <v>827</v>
      </c>
      <c r="F185" s="63"/>
      <c r="G185" s="64"/>
      <c r="H185" s="47" t="str">
        <f t="shared" ca="1" si="2"/>
        <v/>
      </c>
      <c r="I185" s="63"/>
      <c r="J185" s="65">
        <f>IF(AND($D185="P1",$E185&lt;&gt;"Complete",$E185&lt;&gt;"N/A"),COUNTIFS($D$6:$D185,"P1",$E$6:$E185,"&lt;&gt;Complete",$E$6:$E185,"&lt;&gt;N/A"),"")</f>
        <v>63</v>
      </c>
      <c r="K185" s="65" t="str">
        <f>IF(AND($F185&lt;&gt;"",$F185='10. Owner View'!$C$4,$E185&lt;&gt;"Complete",$E185&lt;&gt;"N/A"),COUNTIFS($F$6:$F185,'10. Owner View'!$C$4,$E$6:$E185,"&lt;&gt;Complete",$E$6:$E185,"&lt;&gt;N/A"),"")</f>
        <v/>
      </c>
    </row>
    <row r="186" spans="1:11" x14ac:dyDescent="0.45">
      <c r="A186" s="61" t="s">
        <v>1186</v>
      </c>
      <c r="B186" s="48" t="s">
        <v>108</v>
      </c>
      <c r="C186" s="55" t="s">
        <v>1187</v>
      </c>
      <c r="D186" s="62" t="s">
        <v>402</v>
      </c>
      <c r="E186" s="63" t="s">
        <v>827</v>
      </c>
      <c r="F186" s="63"/>
      <c r="G186" s="64"/>
      <c r="H186" s="47" t="str">
        <f t="shared" ca="1" si="2"/>
        <v/>
      </c>
      <c r="I186" s="63"/>
      <c r="J186" s="65" t="str">
        <f>IF(AND($D186="P1",$E186&lt;&gt;"Complete",$E186&lt;&gt;"N/A"),COUNTIFS($D$6:$D186,"P1",$E$6:$E186,"&lt;&gt;Complete",$E$6:$E186,"&lt;&gt;N/A"),"")</f>
        <v/>
      </c>
      <c r="K186" s="65" t="str">
        <f>IF(AND($F186&lt;&gt;"",$F186='10. Owner View'!$C$4,$E186&lt;&gt;"Complete",$E186&lt;&gt;"N/A"),COUNTIFS($F$6:$F186,'10. Owner View'!$C$4,$E$6:$E186,"&lt;&gt;Complete",$E$6:$E186,"&lt;&gt;N/A"),"")</f>
        <v/>
      </c>
    </row>
    <row r="187" spans="1:11" x14ac:dyDescent="0.45">
      <c r="A187" s="61" t="s">
        <v>1188</v>
      </c>
      <c r="B187" s="48" t="s">
        <v>108</v>
      </c>
      <c r="C187" s="55" t="s">
        <v>1189</v>
      </c>
      <c r="D187" s="62" t="s">
        <v>402</v>
      </c>
      <c r="E187" s="63" t="s">
        <v>827</v>
      </c>
      <c r="F187" s="63"/>
      <c r="G187" s="64"/>
      <c r="H187" s="47" t="str">
        <f t="shared" ca="1" si="2"/>
        <v/>
      </c>
      <c r="I187" s="63"/>
      <c r="J187" s="65" t="str">
        <f>IF(AND($D187="P1",$E187&lt;&gt;"Complete",$E187&lt;&gt;"N/A"),COUNTIFS($D$6:$D187,"P1",$E$6:$E187,"&lt;&gt;Complete",$E$6:$E187,"&lt;&gt;N/A"),"")</f>
        <v/>
      </c>
      <c r="K187" s="65" t="str">
        <f>IF(AND($F187&lt;&gt;"",$F187='10. Owner View'!$C$4,$E187&lt;&gt;"Complete",$E187&lt;&gt;"N/A"),COUNTIFS($F$6:$F187,'10. Owner View'!$C$4,$E$6:$E187,"&lt;&gt;Complete",$E$6:$E187,"&lt;&gt;N/A"),"")</f>
        <v/>
      </c>
    </row>
    <row r="188" spans="1:11" x14ac:dyDescent="0.45">
      <c r="A188" s="61" t="s">
        <v>1190</v>
      </c>
      <c r="B188" s="48" t="s">
        <v>108</v>
      </c>
      <c r="C188" s="55" t="s">
        <v>1191</v>
      </c>
      <c r="D188" s="62" t="s">
        <v>402</v>
      </c>
      <c r="E188" s="63" t="s">
        <v>827</v>
      </c>
      <c r="F188" s="63"/>
      <c r="G188" s="64"/>
      <c r="H188" s="47" t="str">
        <f t="shared" ca="1" si="2"/>
        <v/>
      </c>
      <c r="I188" s="63"/>
      <c r="J188" s="65" t="str">
        <f>IF(AND($D188="P1",$E188&lt;&gt;"Complete",$E188&lt;&gt;"N/A"),COUNTIFS($D$6:$D188,"P1",$E$6:$E188,"&lt;&gt;Complete",$E$6:$E188,"&lt;&gt;N/A"),"")</f>
        <v/>
      </c>
      <c r="K188" s="65" t="str">
        <f>IF(AND($F188&lt;&gt;"",$F188='10. Owner View'!$C$4,$E188&lt;&gt;"Complete",$E188&lt;&gt;"N/A"),COUNTIFS($F$6:$F188,'10. Owner View'!$C$4,$E$6:$E188,"&lt;&gt;Complete",$E$6:$E188,"&lt;&gt;N/A"),"")</f>
        <v/>
      </c>
    </row>
    <row r="189" spans="1:11" x14ac:dyDescent="0.45">
      <c r="A189" s="61" t="s">
        <v>1192</v>
      </c>
      <c r="B189" s="48" t="s">
        <v>108</v>
      </c>
      <c r="C189" s="55" t="s">
        <v>1193</v>
      </c>
      <c r="D189" s="62" t="s">
        <v>402</v>
      </c>
      <c r="E189" s="63" t="s">
        <v>827</v>
      </c>
      <c r="F189" s="63"/>
      <c r="G189" s="64"/>
      <c r="H189" s="47" t="str">
        <f t="shared" ca="1" si="2"/>
        <v/>
      </c>
      <c r="I189" s="63"/>
      <c r="J189" s="65" t="str">
        <f>IF(AND($D189="P1",$E189&lt;&gt;"Complete",$E189&lt;&gt;"N/A"),COUNTIFS($D$6:$D189,"P1",$E$6:$E189,"&lt;&gt;Complete",$E$6:$E189,"&lt;&gt;N/A"),"")</f>
        <v/>
      </c>
      <c r="K189" s="65" t="str">
        <f>IF(AND($F189&lt;&gt;"",$F189='10. Owner View'!$C$4,$E189&lt;&gt;"Complete",$E189&lt;&gt;"N/A"),COUNTIFS($F$6:$F189,'10. Owner View'!$C$4,$E$6:$E189,"&lt;&gt;Complete",$E$6:$E189,"&lt;&gt;N/A"),"")</f>
        <v/>
      </c>
    </row>
    <row r="190" spans="1:11" x14ac:dyDescent="0.45">
      <c r="A190" s="61" t="s">
        <v>1194</v>
      </c>
      <c r="B190" s="48" t="s">
        <v>108</v>
      </c>
      <c r="C190" s="55" t="s">
        <v>1195</v>
      </c>
      <c r="D190" s="62" t="s">
        <v>358</v>
      </c>
      <c r="E190" s="63" t="s">
        <v>827</v>
      </c>
      <c r="F190" s="63"/>
      <c r="G190" s="64"/>
      <c r="H190" s="47" t="str">
        <f t="shared" ca="1" si="2"/>
        <v/>
      </c>
      <c r="I190" s="63"/>
      <c r="J190" s="65">
        <f>IF(AND($D190="P1",$E190&lt;&gt;"Complete",$E190&lt;&gt;"N/A"),COUNTIFS($D$6:$D190,"P1",$E$6:$E190,"&lt;&gt;Complete",$E$6:$E190,"&lt;&gt;N/A"),"")</f>
        <v>64</v>
      </c>
      <c r="K190" s="65" t="str">
        <f>IF(AND($F190&lt;&gt;"",$F190='10. Owner View'!$C$4,$E190&lt;&gt;"Complete",$E190&lt;&gt;"N/A"),COUNTIFS($F$6:$F190,'10. Owner View'!$C$4,$E$6:$E190,"&lt;&gt;Complete",$E$6:$E190,"&lt;&gt;N/A"),"")</f>
        <v/>
      </c>
    </row>
    <row r="191" spans="1:11" x14ac:dyDescent="0.45">
      <c r="A191" s="61" t="s">
        <v>1196</v>
      </c>
      <c r="B191" s="48" t="s">
        <v>108</v>
      </c>
      <c r="C191" s="55" t="s">
        <v>1197</v>
      </c>
      <c r="D191" s="62" t="s">
        <v>402</v>
      </c>
      <c r="E191" s="63" t="s">
        <v>827</v>
      </c>
      <c r="F191" s="63"/>
      <c r="G191" s="64"/>
      <c r="H191" s="47" t="str">
        <f t="shared" ca="1" si="2"/>
        <v/>
      </c>
      <c r="I191" s="63"/>
      <c r="J191" s="65" t="str">
        <f>IF(AND($D191="P1",$E191&lt;&gt;"Complete",$E191&lt;&gt;"N/A"),COUNTIFS($D$6:$D191,"P1",$E$6:$E191,"&lt;&gt;Complete",$E$6:$E191,"&lt;&gt;N/A"),"")</f>
        <v/>
      </c>
      <c r="K191" s="65" t="str">
        <f>IF(AND($F191&lt;&gt;"",$F191='10. Owner View'!$C$4,$E191&lt;&gt;"Complete",$E191&lt;&gt;"N/A"),COUNTIFS($F$6:$F191,'10. Owner View'!$C$4,$E$6:$E191,"&lt;&gt;Complete",$E$6:$E191,"&lt;&gt;N/A"),"")</f>
        <v/>
      </c>
    </row>
    <row r="192" spans="1:11" x14ac:dyDescent="0.45">
      <c r="A192" s="61" t="s">
        <v>1198</v>
      </c>
      <c r="B192" s="48" t="s">
        <v>108</v>
      </c>
      <c r="C192" s="55" t="s">
        <v>1199</v>
      </c>
      <c r="D192" s="62" t="s">
        <v>468</v>
      </c>
      <c r="E192" s="63" t="s">
        <v>827</v>
      </c>
      <c r="F192" s="63"/>
      <c r="G192" s="64"/>
      <c r="H192" s="47" t="str">
        <f t="shared" ca="1" si="2"/>
        <v/>
      </c>
      <c r="I192" s="63"/>
      <c r="J192" s="65" t="str">
        <f>IF(AND($D192="P1",$E192&lt;&gt;"Complete",$E192&lt;&gt;"N/A"),COUNTIFS($D$6:$D192,"P1",$E$6:$E192,"&lt;&gt;Complete",$E$6:$E192,"&lt;&gt;N/A"),"")</f>
        <v/>
      </c>
      <c r="K192" s="65" t="str">
        <f>IF(AND($F192&lt;&gt;"",$F192='10. Owner View'!$C$4,$E192&lt;&gt;"Complete",$E192&lt;&gt;"N/A"),COUNTIFS($F$6:$F192,'10. Owner View'!$C$4,$E$6:$E192,"&lt;&gt;Complete",$E$6:$E192,"&lt;&gt;N/A"),"")</f>
        <v/>
      </c>
    </row>
    <row r="193" spans="1:11" x14ac:dyDescent="0.45">
      <c r="A193" s="61" t="s">
        <v>1200</v>
      </c>
      <c r="B193" s="48" t="s">
        <v>108</v>
      </c>
      <c r="C193" s="55" t="s">
        <v>1201</v>
      </c>
      <c r="D193" s="62" t="s">
        <v>402</v>
      </c>
      <c r="E193" s="63" t="s">
        <v>827</v>
      </c>
      <c r="F193" s="63"/>
      <c r="G193" s="64"/>
      <c r="H193" s="47" t="str">
        <f t="shared" ca="1" si="2"/>
        <v/>
      </c>
      <c r="I193" s="63"/>
      <c r="J193" s="65" t="str">
        <f>IF(AND($D193="P1",$E193&lt;&gt;"Complete",$E193&lt;&gt;"N/A"),COUNTIFS($D$6:$D193,"P1",$E$6:$E193,"&lt;&gt;Complete",$E$6:$E193,"&lt;&gt;N/A"),"")</f>
        <v/>
      </c>
      <c r="K193" s="65" t="str">
        <f>IF(AND($F193&lt;&gt;"",$F193='10. Owner View'!$C$4,$E193&lt;&gt;"Complete",$E193&lt;&gt;"N/A"),COUNTIFS($F$6:$F193,'10. Owner View'!$C$4,$E$6:$E193,"&lt;&gt;Complete",$E$6:$E193,"&lt;&gt;N/A"),"")</f>
        <v/>
      </c>
    </row>
    <row r="194" spans="1:11" x14ac:dyDescent="0.45">
      <c r="A194" s="61" t="s">
        <v>1202</v>
      </c>
      <c r="B194" s="48" t="s">
        <v>108</v>
      </c>
      <c r="C194" s="55" t="s">
        <v>1203</v>
      </c>
      <c r="D194" s="62" t="s">
        <v>402</v>
      </c>
      <c r="E194" s="63" t="s">
        <v>827</v>
      </c>
      <c r="F194" s="63"/>
      <c r="G194" s="64"/>
      <c r="H194" s="47" t="str">
        <f t="shared" ca="1" si="2"/>
        <v/>
      </c>
      <c r="I194" s="63"/>
      <c r="J194" s="65" t="str">
        <f>IF(AND($D194="P1",$E194&lt;&gt;"Complete",$E194&lt;&gt;"N/A"),COUNTIFS($D$6:$D194,"P1",$E$6:$E194,"&lt;&gt;Complete",$E$6:$E194,"&lt;&gt;N/A"),"")</f>
        <v/>
      </c>
      <c r="K194" s="65" t="str">
        <f>IF(AND($F194&lt;&gt;"",$F194='10. Owner View'!$C$4,$E194&lt;&gt;"Complete",$E194&lt;&gt;"N/A"),COUNTIFS($F$6:$F194,'10. Owner View'!$C$4,$E$6:$E194,"&lt;&gt;Complete",$E$6:$E194,"&lt;&gt;N/A"),"")</f>
        <v/>
      </c>
    </row>
    <row r="195" spans="1:11" x14ac:dyDescent="0.45">
      <c r="A195" s="61" t="s">
        <v>1204</v>
      </c>
      <c r="B195" s="48" t="s">
        <v>108</v>
      </c>
      <c r="C195" s="55" t="s">
        <v>1205</v>
      </c>
      <c r="D195" s="62" t="s">
        <v>402</v>
      </c>
      <c r="E195" s="63" t="s">
        <v>827</v>
      </c>
      <c r="F195" s="63"/>
      <c r="G195" s="64"/>
      <c r="H195" s="47" t="str">
        <f t="shared" ca="1" si="2"/>
        <v/>
      </c>
      <c r="I195" s="63"/>
      <c r="J195" s="65" t="str">
        <f>IF(AND($D195="P1",$E195&lt;&gt;"Complete",$E195&lt;&gt;"N/A"),COUNTIFS($D$6:$D195,"P1",$E$6:$E195,"&lt;&gt;Complete",$E$6:$E195,"&lt;&gt;N/A"),"")</f>
        <v/>
      </c>
      <c r="K195" s="65" t="str">
        <f>IF(AND($F195&lt;&gt;"",$F195='10. Owner View'!$C$4,$E195&lt;&gt;"Complete",$E195&lt;&gt;"N/A"),COUNTIFS($F$6:$F195,'10. Owner View'!$C$4,$E$6:$E195,"&lt;&gt;Complete",$E$6:$E195,"&lt;&gt;N/A"),"")</f>
        <v/>
      </c>
    </row>
    <row r="196" spans="1:11" x14ac:dyDescent="0.45">
      <c r="A196" s="61" t="s">
        <v>1206</v>
      </c>
      <c r="B196" s="48" t="s">
        <v>109</v>
      </c>
      <c r="C196" s="55" t="s">
        <v>1207</v>
      </c>
      <c r="D196" s="62" t="s">
        <v>402</v>
      </c>
      <c r="E196" s="63" t="s">
        <v>827</v>
      </c>
      <c r="F196" s="63"/>
      <c r="G196" s="64"/>
      <c r="H196" s="47" t="str">
        <f t="shared" ca="1" si="2"/>
        <v/>
      </c>
      <c r="I196" s="63"/>
      <c r="J196" s="65" t="str">
        <f>IF(AND($D196="P1",$E196&lt;&gt;"Complete",$E196&lt;&gt;"N/A"),COUNTIFS($D$6:$D196,"P1",$E$6:$E196,"&lt;&gt;Complete",$E$6:$E196,"&lt;&gt;N/A"),"")</f>
        <v/>
      </c>
      <c r="K196" s="65" t="str">
        <f>IF(AND($F196&lt;&gt;"",$F196='10. Owner View'!$C$4,$E196&lt;&gt;"Complete",$E196&lt;&gt;"N/A"),COUNTIFS($F$6:$F196,'10. Owner View'!$C$4,$E$6:$E196,"&lt;&gt;Complete",$E$6:$E196,"&lt;&gt;N/A"),"")</f>
        <v/>
      </c>
    </row>
    <row r="197" spans="1:11" x14ac:dyDescent="0.45">
      <c r="A197" s="61" t="s">
        <v>1208</v>
      </c>
      <c r="B197" s="48" t="s">
        <v>109</v>
      </c>
      <c r="C197" s="55" t="s">
        <v>1209</v>
      </c>
      <c r="D197" s="62" t="s">
        <v>402</v>
      </c>
      <c r="E197" s="63" t="s">
        <v>827</v>
      </c>
      <c r="F197" s="63"/>
      <c r="G197" s="64"/>
      <c r="H197" s="47" t="str">
        <f t="shared" ca="1" si="2"/>
        <v/>
      </c>
      <c r="I197" s="63"/>
      <c r="J197" s="65" t="str">
        <f>IF(AND($D197="P1",$E197&lt;&gt;"Complete",$E197&lt;&gt;"N/A"),COUNTIFS($D$6:$D197,"P1",$E$6:$E197,"&lt;&gt;Complete",$E$6:$E197,"&lt;&gt;N/A"),"")</f>
        <v/>
      </c>
      <c r="K197" s="65" t="str">
        <f>IF(AND($F197&lt;&gt;"",$F197='10. Owner View'!$C$4,$E197&lt;&gt;"Complete",$E197&lt;&gt;"N/A"),COUNTIFS($F$6:$F197,'10. Owner View'!$C$4,$E$6:$E197,"&lt;&gt;Complete",$E$6:$E197,"&lt;&gt;N/A"),"")</f>
        <v/>
      </c>
    </row>
    <row r="198" spans="1:11" x14ac:dyDescent="0.45">
      <c r="A198" s="61" t="s">
        <v>1210</v>
      </c>
      <c r="B198" s="48" t="s">
        <v>109</v>
      </c>
      <c r="C198" s="55" t="s">
        <v>1211</v>
      </c>
      <c r="D198" s="62" t="s">
        <v>402</v>
      </c>
      <c r="E198" s="63" t="s">
        <v>827</v>
      </c>
      <c r="F198" s="63"/>
      <c r="G198" s="64"/>
      <c r="H198" s="47" t="str">
        <f t="shared" ref="H198:H265" ca="1" si="3">IF($G198="","",IF($E198="Complete","done",$G198-TODAY()))</f>
        <v/>
      </c>
      <c r="I198" s="63"/>
      <c r="J198" s="65" t="str">
        <f>IF(AND($D198="P1",$E198&lt;&gt;"Complete",$E198&lt;&gt;"N/A"),COUNTIFS($D$6:$D198,"P1",$E$6:$E198,"&lt;&gt;Complete",$E$6:$E198,"&lt;&gt;N/A"),"")</f>
        <v/>
      </c>
      <c r="K198" s="65" t="str">
        <f>IF(AND($F198&lt;&gt;"",$F198='10. Owner View'!$C$4,$E198&lt;&gt;"Complete",$E198&lt;&gt;"N/A"),COUNTIFS($F$6:$F198,'10. Owner View'!$C$4,$E$6:$E198,"&lt;&gt;Complete",$E$6:$E198,"&lt;&gt;N/A"),"")</f>
        <v/>
      </c>
    </row>
    <row r="199" spans="1:11" x14ac:dyDescent="0.45">
      <c r="A199" s="61" t="s">
        <v>1212</v>
      </c>
      <c r="B199" s="48" t="s">
        <v>109</v>
      </c>
      <c r="C199" s="55" t="s">
        <v>1213</v>
      </c>
      <c r="D199" s="62" t="s">
        <v>402</v>
      </c>
      <c r="E199" s="63" t="s">
        <v>827</v>
      </c>
      <c r="F199" s="63"/>
      <c r="G199" s="64"/>
      <c r="H199" s="47" t="str">
        <f t="shared" ca="1" si="3"/>
        <v/>
      </c>
      <c r="I199" s="63"/>
      <c r="J199" s="65" t="str">
        <f>IF(AND($D199="P1",$E199&lt;&gt;"Complete",$E199&lt;&gt;"N/A"),COUNTIFS($D$6:$D199,"P1",$E$6:$E199,"&lt;&gt;Complete",$E$6:$E199,"&lt;&gt;N/A"),"")</f>
        <v/>
      </c>
      <c r="K199" s="65" t="str">
        <f>IF(AND($F199&lt;&gt;"",$F199='10. Owner View'!$C$4,$E199&lt;&gt;"Complete",$E199&lt;&gt;"N/A"),COUNTIFS($F$6:$F199,'10. Owner View'!$C$4,$E$6:$E199,"&lt;&gt;Complete",$E$6:$E199,"&lt;&gt;N/A"),"")</f>
        <v/>
      </c>
    </row>
    <row r="200" spans="1:11" x14ac:dyDescent="0.45">
      <c r="A200" s="61" t="s">
        <v>1214</v>
      </c>
      <c r="B200" s="48" t="s">
        <v>109</v>
      </c>
      <c r="C200" s="55" t="s">
        <v>1215</v>
      </c>
      <c r="D200" s="62" t="s">
        <v>402</v>
      </c>
      <c r="E200" s="63" t="s">
        <v>827</v>
      </c>
      <c r="F200" s="63"/>
      <c r="G200" s="64"/>
      <c r="H200" s="47" t="str">
        <f t="shared" ca="1" si="3"/>
        <v/>
      </c>
      <c r="I200" s="63"/>
      <c r="J200" s="65" t="str">
        <f>IF(AND($D200="P1",$E200&lt;&gt;"Complete",$E200&lt;&gt;"N/A"),COUNTIFS($D$6:$D200,"P1",$E$6:$E200,"&lt;&gt;Complete",$E$6:$E200,"&lt;&gt;N/A"),"")</f>
        <v/>
      </c>
      <c r="K200" s="65" t="str">
        <f>IF(AND($F200&lt;&gt;"",$F200='10. Owner View'!$C$4,$E200&lt;&gt;"Complete",$E200&lt;&gt;"N/A"),COUNTIFS($F$6:$F200,'10. Owner View'!$C$4,$E$6:$E200,"&lt;&gt;Complete",$E$6:$E200,"&lt;&gt;N/A"),"")</f>
        <v/>
      </c>
    </row>
    <row r="201" spans="1:11" x14ac:dyDescent="0.45">
      <c r="A201" s="61" t="s">
        <v>1216</v>
      </c>
      <c r="B201" s="48" t="s">
        <v>109</v>
      </c>
      <c r="C201" s="55" t="s">
        <v>1217</v>
      </c>
      <c r="D201" s="62" t="s">
        <v>402</v>
      </c>
      <c r="E201" s="63" t="s">
        <v>827</v>
      </c>
      <c r="F201" s="63"/>
      <c r="G201" s="64"/>
      <c r="H201" s="47" t="str">
        <f t="shared" ca="1" si="3"/>
        <v/>
      </c>
      <c r="I201" s="63"/>
      <c r="J201" s="65" t="str">
        <f>IF(AND($D201="P1",$E201&lt;&gt;"Complete",$E201&lt;&gt;"N/A"),COUNTIFS($D$6:$D201,"P1",$E$6:$E201,"&lt;&gt;Complete",$E$6:$E201,"&lt;&gt;N/A"),"")</f>
        <v/>
      </c>
      <c r="K201" s="65" t="str">
        <f>IF(AND($F201&lt;&gt;"",$F201='10. Owner View'!$C$4,$E201&lt;&gt;"Complete",$E201&lt;&gt;"N/A"),COUNTIFS($F$6:$F201,'10. Owner View'!$C$4,$E$6:$E201,"&lt;&gt;Complete",$E$6:$E201,"&lt;&gt;N/A"),"")</f>
        <v/>
      </c>
    </row>
    <row r="202" spans="1:11" x14ac:dyDescent="0.45">
      <c r="A202" s="61" t="s">
        <v>1218</v>
      </c>
      <c r="B202" s="48" t="s">
        <v>109</v>
      </c>
      <c r="C202" s="55" t="s">
        <v>1219</v>
      </c>
      <c r="D202" s="62" t="s">
        <v>402</v>
      </c>
      <c r="E202" s="63" t="s">
        <v>827</v>
      </c>
      <c r="F202" s="63"/>
      <c r="G202" s="64"/>
      <c r="H202" s="47" t="str">
        <f t="shared" ca="1" si="3"/>
        <v/>
      </c>
      <c r="I202" s="63"/>
      <c r="J202" s="65" t="str">
        <f>IF(AND($D202="P1",$E202&lt;&gt;"Complete",$E202&lt;&gt;"N/A"),COUNTIFS($D$6:$D202,"P1",$E$6:$E202,"&lt;&gt;Complete",$E$6:$E202,"&lt;&gt;N/A"),"")</f>
        <v/>
      </c>
      <c r="K202" s="65" t="str">
        <f>IF(AND($F202&lt;&gt;"",$F202='10. Owner View'!$C$4,$E202&lt;&gt;"Complete",$E202&lt;&gt;"N/A"),COUNTIFS($F$6:$F202,'10. Owner View'!$C$4,$E$6:$E202,"&lt;&gt;Complete",$E$6:$E202,"&lt;&gt;N/A"),"")</f>
        <v/>
      </c>
    </row>
    <row r="203" spans="1:11" x14ac:dyDescent="0.45">
      <c r="A203" s="61" t="s">
        <v>1220</v>
      </c>
      <c r="B203" s="48" t="s">
        <v>109</v>
      </c>
      <c r="C203" s="55" t="s">
        <v>1221</v>
      </c>
      <c r="D203" s="62" t="s">
        <v>468</v>
      </c>
      <c r="E203" s="63" t="s">
        <v>827</v>
      </c>
      <c r="F203" s="63"/>
      <c r="G203" s="64"/>
      <c r="H203" s="47" t="str">
        <f t="shared" ca="1" si="3"/>
        <v/>
      </c>
      <c r="I203" s="63"/>
      <c r="J203" s="65" t="str">
        <f>IF(AND($D203="P1",$E203&lt;&gt;"Complete",$E203&lt;&gt;"N/A"),COUNTIFS($D$6:$D203,"P1",$E$6:$E203,"&lt;&gt;Complete",$E$6:$E203,"&lt;&gt;N/A"),"")</f>
        <v/>
      </c>
      <c r="K203" s="65" t="str">
        <f>IF(AND($F203&lt;&gt;"",$F203='10. Owner View'!$C$4,$E203&lt;&gt;"Complete",$E203&lt;&gt;"N/A"),COUNTIFS($F$6:$F203,'10. Owner View'!$C$4,$E$6:$E203,"&lt;&gt;Complete",$E$6:$E203,"&lt;&gt;N/A"),"")</f>
        <v/>
      </c>
    </row>
    <row r="204" spans="1:11" x14ac:dyDescent="0.45">
      <c r="A204" s="61" t="s">
        <v>1222</v>
      </c>
      <c r="B204" s="48" t="s">
        <v>109</v>
      </c>
      <c r="C204" s="55" t="s">
        <v>1223</v>
      </c>
      <c r="D204" s="62" t="s">
        <v>468</v>
      </c>
      <c r="E204" s="63" t="s">
        <v>827</v>
      </c>
      <c r="F204" s="63"/>
      <c r="G204" s="64"/>
      <c r="H204" s="47" t="str">
        <f t="shared" ca="1" si="3"/>
        <v/>
      </c>
      <c r="I204" s="63"/>
      <c r="J204" s="65" t="str">
        <f>IF(AND($D204="P1",$E204&lt;&gt;"Complete",$E204&lt;&gt;"N/A"),COUNTIFS($D$6:$D204,"P1",$E$6:$E204,"&lt;&gt;Complete",$E$6:$E204,"&lt;&gt;N/A"),"")</f>
        <v/>
      </c>
      <c r="K204" s="65" t="str">
        <f>IF(AND($F204&lt;&gt;"",$F204='10. Owner View'!$C$4,$E204&lt;&gt;"Complete",$E204&lt;&gt;"N/A"),COUNTIFS($F$6:$F204,'10. Owner View'!$C$4,$E$6:$E204,"&lt;&gt;Complete",$E$6:$E204,"&lt;&gt;N/A"),"")</f>
        <v/>
      </c>
    </row>
    <row r="205" spans="1:11" x14ac:dyDescent="0.45">
      <c r="A205" s="61" t="s">
        <v>1224</v>
      </c>
      <c r="B205" s="48" t="s">
        <v>109</v>
      </c>
      <c r="C205" s="55" t="s">
        <v>1225</v>
      </c>
      <c r="D205" s="62" t="s">
        <v>402</v>
      </c>
      <c r="E205" s="63" t="s">
        <v>827</v>
      </c>
      <c r="F205" s="63"/>
      <c r="G205" s="64"/>
      <c r="H205" s="47" t="str">
        <f t="shared" ca="1" si="3"/>
        <v/>
      </c>
      <c r="I205" s="63"/>
      <c r="J205" s="65" t="str">
        <f>IF(AND($D205="P1",$E205&lt;&gt;"Complete",$E205&lt;&gt;"N/A"),COUNTIFS($D$6:$D205,"P1",$E$6:$E205,"&lt;&gt;Complete",$E$6:$E205,"&lt;&gt;N/A"),"")</f>
        <v/>
      </c>
      <c r="K205" s="65" t="str">
        <f>IF(AND($F205&lt;&gt;"",$F205='10. Owner View'!$C$4,$E205&lt;&gt;"Complete",$E205&lt;&gt;"N/A"),COUNTIFS($F$6:$F205,'10. Owner View'!$C$4,$E$6:$E205,"&lt;&gt;Complete",$E$6:$E205,"&lt;&gt;N/A"),"")</f>
        <v/>
      </c>
    </row>
    <row r="206" spans="1:11" x14ac:dyDescent="0.45">
      <c r="A206" s="61" t="s">
        <v>1226</v>
      </c>
      <c r="B206" s="48" t="s">
        <v>109</v>
      </c>
      <c r="C206" s="55" t="s">
        <v>1227</v>
      </c>
      <c r="D206" s="62" t="s">
        <v>402</v>
      </c>
      <c r="E206" s="63" t="s">
        <v>827</v>
      </c>
      <c r="F206" s="63"/>
      <c r="G206" s="64"/>
      <c r="H206" s="47" t="str">
        <f t="shared" ca="1" si="3"/>
        <v/>
      </c>
      <c r="I206" s="63"/>
      <c r="J206" s="65" t="str">
        <f>IF(AND($D206="P1",$E206&lt;&gt;"Complete",$E206&lt;&gt;"N/A"),COUNTIFS($D$6:$D206,"P1",$E$6:$E206,"&lt;&gt;Complete",$E$6:$E206,"&lt;&gt;N/A"),"")</f>
        <v/>
      </c>
      <c r="K206" s="65" t="str">
        <f>IF(AND($F206&lt;&gt;"",$F206='10. Owner View'!$C$4,$E206&lt;&gt;"Complete",$E206&lt;&gt;"N/A"),COUNTIFS($F$6:$F206,'10. Owner View'!$C$4,$E$6:$E206,"&lt;&gt;Complete",$E$6:$E206,"&lt;&gt;N/A"),"")</f>
        <v/>
      </c>
    </row>
    <row r="207" spans="1:11" x14ac:dyDescent="0.45">
      <c r="A207" s="61" t="s">
        <v>1228</v>
      </c>
      <c r="B207" s="48" t="s">
        <v>109</v>
      </c>
      <c r="C207" s="55" t="s">
        <v>1229</v>
      </c>
      <c r="D207" s="62" t="s">
        <v>402</v>
      </c>
      <c r="E207" s="63" t="s">
        <v>827</v>
      </c>
      <c r="F207" s="63"/>
      <c r="G207" s="64"/>
      <c r="H207" s="47" t="str">
        <f t="shared" ca="1" si="3"/>
        <v/>
      </c>
      <c r="I207" s="63"/>
      <c r="J207" s="65" t="str">
        <f>IF(AND($D207="P1",$E207&lt;&gt;"Complete",$E207&lt;&gt;"N/A"),COUNTIFS($D$6:$D207,"P1",$E$6:$E207,"&lt;&gt;Complete",$E$6:$E207,"&lt;&gt;N/A"),"")</f>
        <v/>
      </c>
      <c r="K207" s="65" t="str">
        <f>IF(AND($F207&lt;&gt;"",$F207='10. Owner View'!$C$4,$E207&lt;&gt;"Complete",$E207&lt;&gt;"N/A"),COUNTIFS($F$6:$F207,'10. Owner View'!$C$4,$E$6:$E207,"&lt;&gt;Complete",$E$6:$E207,"&lt;&gt;N/A"),"")</f>
        <v/>
      </c>
    </row>
    <row r="208" spans="1:11" x14ac:dyDescent="0.45">
      <c r="A208" s="61" t="s">
        <v>1230</v>
      </c>
      <c r="B208" s="48" t="s">
        <v>109</v>
      </c>
      <c r="C208" s="55" t="s">
        <v>1231</v>
      </c>
      <c r="D208" s="62" t="s">
        <v>402</v>
      </c>
      <c r="E208" s="63" t="s">
        <v>827</v>
      </c>
      <c r="F208" s="63"/>
      <c r="G208" s="64"/>
      <c r="H208" s="47" t="str">
        <f t="shared" ca="1" si="3"/>
        <v/>
      </c>
      <c r="I208" s="63"/>
      <c r="J208" s="65" t="str">
        <f>IF(AND($D208="P1",$E208&lt;&gt;"Complete",$E208&lt;&gt;"N/A"),COUNTIFS($D$6:$D208,"P1",$E$6:$E208,"&lt;&gt;Complete",$E$6:$E208,"&lt;&gt;N/A"),"")</f>
        <v/>
      </c>
      <c r="K208" s="65" t="str">
        <f>IF(AND($F208&lt;&gt;"",$F208='10. Owner View'!$C$4,$E208&lt;&gt;"Complete",$E208&lt;&gt;"N/A"),COUNTIFS($F$6:$F208,'10. Owner View'!$C$4,$E$6:$E208,"&lt;&gt;Complete",$E$6:$E208,"&lt;&gt;N/A"),"")</f>
        <v/>
      </c>
    </row>
    <row r="209" spans="1:11" x14ac:dyDescent="0.45">
      <c r="A209" s="61" t="s">
        <v>1232</v>
      </c>
      <c r="B209" s="48" t="s">
        <v>109</v>
      </c>
      <c r="C209" s="55" t="s">
        <v>1233</v>
      </c>
      <c r="D209" s="62" t="s">
        <v>468</v>
      </c>
      <c r="E209" s="63" t="s">
        <v>827</v>
      </c>
      <c r="F209" s="63"/>
      <c r="G209" s="64"/>
      <c r="H209" s="47" t="str">
        <f t="shared" ca="1" si="3"/>
        <v/>
      </c>
      <c r="I209" s="63"/>
      <c r="J209" s="65" t="str">
        <f>IF(AND($D209="P1",$E209&lt;&gt;"Complete",$E209&lt;&gt;"N/A"),COUNTIFS($D$6:$D209,"P1",$E$6:$E209,"&lt;&gt;Complete",$E$6:$E209,"&lt;&gt;N/A"),"")</f>
        <v/>
      </c>
      <c r="K209" s="65" t="str">
        <f>IF(AND($F209&lt;&gt;"",$F209='10. Owner View'!$C$4,$E209&lt;&gt;"Complete",$E209&lt;&gt;"N/A"),COUNTIFS($F$6:$F209,'10. Owner View'!$C$4,$E$6:$E209,"&lt;&gt;Complete",$E$6:$E209,"&lt;&gt;N/A"),"")</f>
        <v/>
      </c>
    </row>
    <row r="210" spans="1:11" x14ac:dyDescent="0.45">
      <c r="A210" s="61" t="s">
        <v>1234</v>
      </c>
      <c r="B210" s="48" t="s">
        <v>110</v>
      </c>
      <c r="C210" s="55" t="s">
        <v>1235</v>
      </c>
      <c r="D210" s="62" t="s">
        <v>358</v>
      </c>
      <c r="E210" s="63" t="s">
        <v>827</v>
      </c>
      <c r="F210" s="63"/>
      <c r="G210" s="64"/>
      <c r="H210" s="47" t="str">
        <f t="shared" ca="1" si="3"/>
        <v/>
      </c>
      <c r="I210" s="63"/>
      <c r="J210" s="65">
        <f>IF(AND($D210="P1",$E210&lt;&gt;"Complete",$E210&lt;&gt;"N/A"),COUNTIFS($D$6:$D210,"P1",$E$6:$E210,"&lt;&gt;Complete",$E$6:$E210,"&lt;&gt;N/A"),"")</f>
        <v>65</v>
      </c>
      <c r="K210" s="65" t="str">
        <f>IF(AND($F210&lt;&gt;"",$F210='10. Owner View'!$C$4,$E210&lt;&gt;"Complete",$E210&lt;&gt;"N/A"),COUNTIFS($F$6:$F210,'10. Owner View'!$C$4,$E$6:$E210,"&lt;&gt;Complete",$E$6:$E210,"&lt;&gt;N/A"),"")</f>
        <v/>
      </c>
    </row>
    <row r="211" spans="1:11" x14ac:dyDescent="0.45">
      <c r="A211" s="61" t="s">
        <v>1236</v>
      </c>
      <c r="B211" s="48" t="s">
        <v>110</v>
      </c>
      <c r="C211" s="55" t="s">
        <v>1237</v>
      </c>
      <c r="D211" s="62" t="s">
        <v>358</v>
      </c>
      <c r="E211" s="63" t="s">
        <v>827</v>
      </c>
      <c r="F211" s="63"/>
      <c r="G211" s="64"/>
      <c r="H211" s="47" t="str">
        <f t="shared" ca="1" si="3"/>
        <v/>
      </c>
      <c r="I211" s="63"/>
      <c r="J211" s="65">
        <f>IF(AND($D211="P1",$E211&lt;&gt;"Complete",$E211&lt;&gt;"N/A"),COUNTIFS($D$6:$D211,"P1",$E$6:$E211,"&lt;&gt;Complete",$E$6:$E211,"&lt;&gt;N/A"),"")</f>
        <v>66</v>
      </c>
      <c r="K211" s="65" t="str">
        <f>IF(AND($F211&lt;&gt;"",$F211='10. Owner View'!$C$4,$E211&lt;&gt;"Complete",$E211&lt;&gt;"N/A"),COUNTIFS($F$6:$F211,'10. Owner View'!$C$4,$E$6:$E211,"&lt;&gt;Complete",$E$6:$E211,"&lt;&gt;N/A"),"")</f>
        <v/>
      </c>
    </row>
    <row r="212" spans="1:11" x14ac:dyDescent="0.45">
      <c r="A212" s="61" t="s">
        <v>1238</v>
      </c>
      <c r="B212" s="48" t="s">
        <v>110</v>
      </c>
      <c r="C212" s="55" t="s">
        <v>1239</v>
      </c>
      <c r="D212" s="62" t="s">
        <v>402</v>
      </c>
      <c r="E212" s="63" t="s">
        <v>827</v>
      </c>
      <c r="F212" s="63"/>
      <c r="G212" s="64"/>
      <c r="H212" s="47" t="str">
        <f t="shared" ca="1" si="3"/>
        <v/>
      </c>
      <c r="I212" s="63"/>
      <c r="J212" s="65" t="str">
        <f>IF(AND($D212="P1",$E212&lt;&gt;"Complete",$E212&lt;&gt;"N/A"),COUNTIFS($D$6:$D212,"P1",$E$6:$E212,"&lt;&gt;Complete",$E$6:$E212,"&lt;&gt;N/A"),"")</f>
        <v/>
      </c>
      <c r="K212" s="65" t="str">
        <f>IF(AND($F212&lt;&gt;"",$F212='10. Owner View'!$C$4,$E212&lt;&gt;"Complete",$E212&lt;&gt;"N/A"),COUNTIFS($F$6:$F212,'10. Owner View'!$C$4,$E$6:$E212,"&lt;&gt;Complete",$E$6:$E212,"&lt;&gt;N/A"),"")</f>
        <v/>
      </c>
    </row>
    <row r="213" spans="1:11" x14ac:dyDescent="0.45">
      <c r="A213" s="61" t="s">
        <v>1240</v>
      </c>
      <c r="B213" s="48" t="s">
        <v>110</v>
      </c>
      <c r="C213" s="55" t="s">
        <v>1241</v>
      </c>
      <c r="D213" s="62" t="s">
        <v>358</v>
      </c>
      <c r="E213" s="63" t="s">
        <v>827</v>
      </c>
      <c r="F213" s="63"/>
      <c r="G213" s="64"/>
      <c r="H213" s="47" t="str">
        <f t="shared" ca="1" si="3"/>
        <v/>
      </c>
      <c r="I213" s="63"/>
      <c r="J213" s="65">
        <f>IF(AND($D213="P1",$E213&lt;&gt;"Complete",$E213&lt;&gt;"N/A"),COUNTIFS($D$6:$D213,"P1",$E$6:$E213,"&lt;&gt;Complete",$E$6:$E213,"&lt;&gt;N/A"),"")</f>
        <v>67</v>
      </c>
      <c r="K213" s="65" t="str">
        <f>IF(AND($F213&lt;&gt;"",$F213='10. Owner View'!$C$4,$E213&lt;&gt;"Complete",$E213&lt;&gt;"N/A"),COUNTIFS($F$6:$F213,'10. Owner View'!$C$4,$E$6:$E213,"&lt;&gt;Complete",$E$6:$E213,"&lt;&gt;N/A"),"")</f>
        <v/>
      </c>
    </row>
    <row r="214" spans="1:11" x14ac:dyDescent="0.45">
      <c r="A214" s="61" t="s">
        <v>1242</v>
      </c>
      <c r="B214" s="48" t="s">
        <v>110</v>
      </c>
      <c r="C214" s="55" t="s">
        <v>1243</v>
      </c>
      <c r="D214" s="62" t="s">
        <v>402</v>
      </c>
      <c r="E214" s="63" t="s">
        <v>827</v>
      </c>
      <c r="F214" s="63"/>
      <c r="G214" s="64"/>
      <c r="H214" s="47" t="str">
        <f t="shared" ca="1" si="3"/>
        <v/>
      </c>
      <c r="I214" s="63"/>
      <c r="J214" s="65" t="str">
        <f>IF(AND($D214="P1",$E214&lt;&gt;"Complete",$E214&lt;&gt;"N/A"),COUNTIFS($D$6:$D214,"P1",$E$6:$E214,"&lt;&gt;Complete",$E$6:$E214,"&lt;&gt;N/A"),"")</f>
        <v/>
      </c>
      <c r="K214" s="65" t="str">
        <f>IF(AND($F214&lt;&gt;"",$F214='10. Owner View'!$C$4,$E214&lt;&gt;"Complete",$E214&lt;&gt;"N/A"),COUNTIFS($F$6:$F214,'10. Owner View'!$C$4,$E$6:$E214,"&lt;&gt;Complete",$E$6:$E214,"&lt;&gt;N/A"),"")</f>
        <v/>
      </c>
    </row>
    <row r="215" spans="1:11" x14ac:dyDescent="0.45">
      <c r="A215" s="61" t="s">
        <v>1244</v>
      </c>
      <c r="B215" s="48" t="s">
        <v>110</v>
      </c>
      <c r="C215" s="55" t="s">
        <v>1245</v>
      </c>
      <c r="D215" s="62" t="s">
        <v>402</v>
      </c>
      <c r="E215" s="63" t="s">
        <v>827</v>
      </c>
      <c r="F215" s="63"/>
      <c r="G215" s="64"/>
      <c r="H215" s="47" t="str">
        <f t="shared" ca="1" si="3"/>
        <v/>
      </c>
      <c r="I215" s="63"/>
      <c r="J215" s="65" t="str">
        <f>IF(AND($D215="P1",$E215&lt;&gt;"Complete",$E215&lt;&gt;"N/A"),COUNTIFS($D$6:$D215,"P1",$E$6:$E215,"&lt;&gt;Complete",$E$6:$E215,"&lt;&gt;N/A"),"")</f>
        <v/>
      </c>
      <c r="K215" s="65" t="str">
        <f>IF(AND($F215&lt;&gt;"",$F215='10. Owner View'!$C$4,$E215&lt;&gt;"Complete",$E215&lt;&gt;"N/A"),COUNTIFS($F$6:$F215,'10. Owner View'!$C$4,$E$6:$E215,"&lt;&gt;Complete",$E$6:$E215,"&lt;&gt;N/A"),"")</f>
        <v/>
      </c>
    </row>
    <row r="216" spans="1:11" x14ac:dyDescent="0.45">
      <c r="A216" s="61" t="s">
        <v>1246</v>
      </c>
      <c r="B216" s="48" t="s">
        <v>110</v>
      </c>
      <c r="C216" s="55" t="s">
        <v>1247</v>
      </c>
      <c r="D216" s="62" t="s">
        <v>402</v>
      </c>
      <c r="E216" s="63" t="s">
        <v>827</v>
      </c>
      <c r="F216" s="63"/>
      <c r="G216" s="64"/>
      <c r="H216" s="47" t="str">
        <f t="shared" ca="1" si="3"/>
        <v/>
      </c>
      <c r="I216" s="63"/>
      <c r="J216" s="65" t="str">
        <f>IF(AND($D216="P1",$E216&lt;&gt;"Complete",$E216&lt;&gt;"N/A"),COUNTIFS($D$6:$D216,"P1",$E$6:$E216,"&lt;&gt;Complete",$E$6:$E216,"&lt;&gt;N/A"),"")</f>
        <v/>
      </c>
      <c r="K216" s="65" t="str">
        <f>IF(AND($F216&lt;&gt;"",$F216='10. Owner View'!$C$4,$E216&lt;&gt;"Complete",$E216&lt;&gt;"N/A"),COUNTIFS($F$6:$F216,'10. Owner View'!$C$4,$E$6:$E216,"&lt;&gt;Complete",$E$6:$E216,"&lt;&gt;N/A"),"")</f>
        <v/>
      </c>
    </row>
    <row r="217" spans="1:11" x14ac:dyDescent="0.45">
      <c r="A217" s="61" t="s">
        <v>1248</v>
      </c>
      <c r="B217" s="48" t="s">
        <v>110</v>
      </c>
      <c r="C217" s="55" t="s">
        <v>1249</v>
      </c>
      <c r="D217" s="62" t="s">
        <v>358</v>
      </c>
      <c r="E217" s="63" t="s">
        <v>827</v>
      </c>
      <c r="F217" s="63"/>
      <c r="G217" s="64"/>
      <c r="H217" s="47" t="str">
        <f t="shared" ca="1" si="3"/>
        <v/>
      </c>
      <c r="I217" s="63"/>
      <c r="J217" s="65">
        <f>IF(AND($D217="P1",$E217&lt;&gt;"Complete",$E217&lt;&gt;"N/A"),COUNTIFS($D$6:$D217,"P1",$E$6:$E217,"&lt;&gt;Complete",$E$6:$E217,"&lt;&gt;N/A"),"")</f>
        <v>68</v>
      </c>
      <c r="K217" s="65" t="str">
        <f>IF(AND($F217&lt;&gt;"",$F217='10. Owner View'!$C$4,$E217&lt;&gt;"Complete",$E217&lt;&gt;"N/A"),COUNTIFS($F$6:$F217,'10. Owner View'!$C$4,$E$6:$E217,"&lt;&gt;Complete",$E$6:$E217,"&lt;&gt;N/A"),"")</f>
        <v/>
      </c>
    </row>
    <row r="218" spans="1:11" x14ac:dyDescent="0.45">
      <c r="A218" s="61" t="s">
        <v>1250</v>
      </c>
      <c r="B218" s="48" t="s">
        <v>110</v>
      </c>
      <c r="C218" s="55" t="s">
        <v>1251</v>
      </c>
      <c r="D218" s="62" t="s">
        <v>402</v>
      </c>
      <c r="E218" s="63" t="s">
        <v>827</v>
      </c>
      <c r="F218" s="63"/>
      <c r="G218" s="64"/>
      <c r="H218" s="47" t="str">
        <f t="shared" ca="1" si="3"/>
        <v/>
      </c>
      <c r="I218" s="63"/>
      <c r="J218" s="65" t="str">
        <f>IF(AND($D218="P1",$E218&lt;&gt;"Complete",$E218&lt;&gt;"N/A"),COUNTIFS($D$6:$D218,"P1",$E$6:$E218,"&lt;&gt;Complete",$E$6:$E218,"&lt;&gt;N/A"),"")</f>
        <v/>
      </c>
      <c r="K218" s="65" t="str">
        <f>IF(AND($F218&lt;&gt;"",$F218='10. Owner View'!$C$4,$E218&lt;&gt;"Complete",$E218&lt;&gt;"N/A"),COUNTIFS($F$6:$F218,'10. Owner View'!$C$4,$E$6:$E218,"&lt;&gt;Complete",$E$6:$E218,"&lt;&gt;N/A"),"")</f>
        <v/>
      </c>
    </row>
    <row r="219" spans="1:11" x14ac:dyDescent="0.45">
      <c r="A219" s="61" t="s">
        <v>1252</v>
      </c>
      <c r="B219" s="48" t="s">
        <v>110</v>
      </c>
      <c r="C219" s="55" t="s">
        <v>1253</v>
      </c>
      <c r="D219" s="62" t="s">
        <v>402</v>
      </c>
      <c r="E219" s="63" t="s">
        <v>827</v>
      </c>
      <c r="F219" s="63"/>
      <c r="G219" s="64"/>
      <c r="H219" s="47" t="str">
        <f t="shared" ca="1" si="3"/>
        <v/>
      </c>
      <c r="I219" s="63"/>
      <c r="J219" s="65" t="str">
        <f>IF(AND($D219="P1",$E219&lt;&gt;"Complete",$E219&lt;&gt;"N/A"),COUNTIFS($D$6:$D219,"P1",$E$6:$E219,"&lt;&gt;Complete",$E$6:$E219,"&lt;&gt;N/A"),"")</f>
        <v/>
      </c>
      <c r="K219" s="65" t="str">
        <f>IF(AND($F219&lt;&gt;"",$F219='10. Owner View'!$C$4,$E219&lt;&gt;"Complete",$E219&lt;&gt;"N/A"),COUNTIFS($F$6:$F219,'10. Owner View'!$C$4,$E$6:$E219,"&lt;&gt;Complete",$E$6:$E219,"&lt;&gt;N/A"),"")</f>
        <v/>
      </c>
    </row>
    <row r="220" spans="1:11" x14ac:dyDescent="0.45">
      <c r="A220" s="61" t="s">
        <v>1254</v>
      </c>
      <c r="B220" s="48" t="s">
        <v>110</v>
      </c>
      <c r="C220" s="55" t="s">
        <v>1255</v>
      </c>
      <c r="D220" s="62" t="s">
        <v>402</v>
      </c>
      <c r="E220" s="63" t="s">
        <v>827</v>
      </c>
      <c r="F220" s="63"/>
      <c r="G220" s="64"/>
      <c r="H220" s="47" t="str">
        <f t="shared" ca="1" si="3"/>
        <v/>
      </c>
      <c r="I220" s="63"/>
      <c r="J220" s="65" t="str">
        <f>IF(AND($D220="P1",$E220&lt;&gt;"Complete",$E220&lt;&gt;"N/A"),COUNTIFS($D$6:$D220,"P1",$E$6:$E220,"&lt;&gt;Complete",$E$6:$E220,"&lt;&gt;N/A"),"")</f>
        <v/>
      </c>
      <c r="K220" s="65" t="str">
        <f>IF(AND($F220&lt;&gt;"",$F220='10. Owner View'!$C$4,$E220&lt;&gt;"Complete",$E220&lt;&gt;"N/A"),COUNTIFS($F$6:$F220,'10. Owner View'!$C$4,$E$6:$E220,"&lt;&gt;Complete",$E$6:$E220,"&lt;&gt;N/A"),"")</f>
        <v/>
      </c>
    </row>
    <row r="221" spans="1:11" x14ac:dyDescent="0.45">
      <c r="A221" s="61" t="s">
        <v>1256</v>
      </c>
      <c r="B221" s="48" t="s">
        <v>110</v>
      </c>
      <c r="C221" s="55" t="s">
        <v>1257</v>
      </c>
      <c r="D221" s="62" t="s">
        <v>468</v>
      </c>
      <c r="E221" s="63" t="s">
        <v>827</v>
      </c>
      <c r="F221" s="63"/>
      <c r="G221" s="64"/>
      <c r="H221" s="47" t="str">
        <f t="shared" ca="1" si="3"/>
        <v/>
      </c>
      <c r="I221" s="63"/>
      <c r="J221" s="65" t="str">
        <f>IF(AND($D221="P1",$E221&lt;&gt;"Complete",$E221&lt;&gt;"N/A"),COUNTIFS($D$6:$D221,"P1",$E$6:$E221,"&lt;&gt;Complete",$E$6:$E221,"&lt;&gt;N/A"),"")</f>
        <v/>
      </c>
      <c r="K221" s="65" t="str">
        <f>IF(AND($F221&lt;&gt;"",$F221='10. Owner View'!$C$4,$E221&lt;&gt;"Complete",$E221&lt;&gt;"N/A"),COUNTIFS($F$6:$F221,'10. Owner View'!$C$4,$E$6:$E221,"&lt;&gt;Complete",$E$6:$E221,"&lt;&gt;N/A"),"")</f>
        <v/>
      </c>
    </row>
    <row r="222" spans="1:11" x14ac:dyDescent="0.45">
      <c r="A222" s="61" t="s">
        <v>1258</v>
      </c>
      <c r="B222" s="48" t="s">
        <v>110</v>
      </c>
      <c r="C222" s="55" t="s">
        <v>1259</v>
      </c>
      <c r="D222" s="62" t="s">
        <v>358</v>
      </c>
      <c r="E222" s="63" t="s">
        <v>827</v>
      </c>
      <c r="F222" s="63"/>
      <c r="G222" s="64"/>
      <c r="H222" s="47" t="str">
        <f t="shared" ca="1" si="3"/>
        <v/>
      </c>
      <c r="I222" s="63"/>
      <c r="J222" s="65">
        <f>IF(AND($D222="P1",$E222&lt;&gt;"Complete",$E222&lt;&gt;"N/A"),COUNTIFS($D$6:$D222,"P1",$E$6:$E222,"&lt;&gt;Complete",$E$6:$E222,"&lt;&gt;N/A"),"")</f>
        <v>69</v>
      </c>
      <c r="K222" s="65" t="str">
        <f>IF(AND($F222&lt;&gt;"",$F222='10. Owner View'!$C$4,$E222&lt;&gt;"Complete",$E222&lt;&gt;"N/A"),COUNTIFS($F$6:$F222,'10. Owner View'!$C$4,$E$6:$E222,"&lt;&gt;Complete",$E$6:$E222,"&lt;&gt;N/A"),"")</f>
        <v/>
      </c>
    </row>
    <row r="223" spans="1:11" x14ac:dyDescent="0.45">
      <c r="A223" s="61" t="s">
        <v>1260</v>
      </c>
      <c r="B223" s="48" t="s">
        <v>110</v>
      </c>
      <c r="C223" s="55" t="s">
        <v>1261</v>
      </c>
      <c r="D223" s="62" t="s">
        <v>402</v>
      </c>
      <c r="E223" s="63" t="s">
        <v>827</v>
      </c>
      <c r="F223" s="63"/>
      <c r="G223" s="64"/>
      <c r="H223" s="47" t="str">
        <f t="shared" ca="1" si="3"/>
        <v/>
      </c>
      <c r="I223" s="63"/>
      <c r="J223" s="65" t="str">
        <f>IF(AND($D223="P1",$E223&lt;&gt;"Complete",$E223&lt;&gt;"N/A"),COUNTIFS($D$6:$D223,"P1",$E$6:$E223,"&lt;&gt;Complete",$E$6:$E223,"&lt;&gt;N/A"),"")</f>
        <v/>
      </c>
      <c r="K223" s="65" t="str">
        <f>IF(AND($F223&lt;&gt;"",$F223='10. Owner View'!$C$4,$E223&lt;&gt;"Complete",$E223&lt;&gt;"N/A"),COUNTIFS($F$6:$F223,'10. Owner View'!$C$4,$E$6:$E223,"&lt;&gt;Complete",$E$6:$E223,"&lt;&gt;N/A"),"")</f>
        <v/>
      </c>
    </row>
    <row r="224" spans="1:11" x14ac:dyDescent="0.45">
      <c r="A224" s="61" t="s">
        <v>1262</v>
      </c>
      <c r="B224" s="48" t="s">
        <v>111</v>
      </c>
      <c r="C224" s="55" t="s">
        <v>1263</v>
      </c>
      <c r="D224" s="62" t="s">
        <v>358</v>
      </c>
      <c r="E224" s="63" t="s">
        <v>827</v>
      </c>
      <c r="F224" s="63"/>
      <c r="G224" s="64"/>
      <c r="H224" s="47" t="str">
        <f t="shared" ca="1" si="3"/>
        <v/>
      </c>
      <c r="I224" s="63"/>
      <c r="J224" s="65">
        <f>IF(AND($D224="P1",$E224&lt;&gt;"Complete",$E224&lt;&gt;"N/A"),COUNTIFS($D$6:$D224,"P1",$E$6:$E224,"&lt;&gt;Complete",$E$6:$E224,"&lt;&gt;N/A"),"")</f>
        <v>70</v>
      </c>
      <c r="K224" s="65" t="str">
        <f>IF(AND($F224&lt;&gt;"",$F224='10. Owner View'!$C$4,$E224&lt;&gt;"Complete",$E224&lt;&gt;"N/A"),COUNTIFS($F$6:$F224,'10. Owner View'!$C$4,$E$6:$E224,"&lt;&gt;Complete",$E$6:$E224,"&lt;&gt;N/A"),"")</f>
        <v/>
      </c>
    </row>
    <row r="225" spans="1:11" x14ac:dyDescent="0.45">
      <c r="A225" s="61" t="s">
        <v>1264</v>
      </c>
      <c r="B225" s="48" t="s">
        <v>111</v>
      </c>
      <c r="C225" s="55" t="s">
        <v>1265</v>
      </c>
      <c r="D225" s="62" t="s">
        <v>358</v>
      </c>
      <c r="E225" s="63" t="s">
        <v>827</v>
      </c>
      <c r="F225" s="63"/>
      <c r="G225" s="64"/>
      <c r="H225" s="47" t="str">
        <f t="shared" ca="1" si="3"/>
        <v/>
      </c>
      <c r="I225" s="63"/>
      <c r="J225" s="65">
        <f>IF(AND($D225="P1",$E225&lt;&gt;"Complete",$E225&lt;&gt;"N/A"),COUNTIFS($D$6:$D225,"P1",$E$6:$E225,"&lt;&gt;Complete",$E$6:$E225,"&lt;&gt;N/A"),"")</f>
        <v>71</v>
      </c>
      <c r="K225" s="65" t="str">
        <f>IF(AND($F225&lt;&gt;"",$F225='10. Owner View'!$C$4,$E225&lt;&gt;"Complete",$E225&lt;&gt;"N/A"),COUNTIFS($F$6:$F225,'10. Owner View'!$C$4,$E$6:$E225,"&lt;&gt;Complete",$E$6:$E225,"&lt;&gt;N/A"),"")</f>
        <v/>
      </c>
    </row>
    <row r="226" spans="1:11" x14ac:dyDescent="0.45">
      <c r="A226" s="61" t="s">
        <v>1266</v>
      </c>
      <c r="B226" s="48" t="s">
        <v>111</v>
      </c>
      <c r="C226" s="55" t="s">
        <v>1267</v>
      </c>
      <c r="D226" s="62" t="s">
        <v>468</v>
      </c>
      <c r="E226" s="63" t="s">
        <v>827</v>
      </c>
      <c r="F226" s="63"/>
      <c r="G226" s="64"/>
      <c r="H226" s="47" t="str">
        <f t="shared" ca="1" si="3"/>
        <v/>
      </c>
      <c r="I226" s="63"/>
      <c r="J226" s="65" t="str">
        <f>IF(AND($D226="P1",$E226&lt;&gt;"Complete",$E226&lt;&gt;"N/A"),COUNTIFS($D$6:$D226,"P1",$E$6:$E226,"&lt;&gt;Complete",$E$6:$E226,"&lt;&gt;N/A"),"")</f>
        <v/>
      </c>
      <c r="K226" s="65" t="str">
        <f>IF(AND($F226&lt;&gt;"",$F226='10. Owner View'!$C$4,$E226&lt;&gt;"Complete",$E226&lt;&gt;"N/A"),COUNTIFS($F$6:$F226,'10. Owner View'!$C$4,$E$6:$E226,"&lt;&gt;Complete",$E$6:$E226,"&lt;&gt;N/A"),"")</f>
        <v/>
      </c>
    </row>
    <row r="227" spans="1:11" x14ac:dyDescent="0.45">
      <c r="A227" s="61" t="s">
        <v>1268</v>
      </c>
      <c r="B227" s="48" t="s">
        <v>111</v>
      </c>
      <c r="C227" s="55" t="s">
        <v>1269</v>
      </c>
      <c r="D227" s="62" t="s">
        <v>402</v>
      </c>
      <c r="E227" s="63" t="s">
        <v>827</v>
      </c>
      <c r="F227" s="63"/>
      <c r="G227" s="64"/>
      <c r="H227" s="47" t="str">
        <f t="shared" ca="1" si="3"/>
        <v/>
      </c>
      <c r="I227" s="63"/>
      <c r="J227" s="65" t="str">
        <f>IF(AND($D227="P1",$E227&lt;&gt;"Complete",$E227&lt;&gt;"N/A"),COUNTIFS($D$6:$D227,"P1",$E$6:$E227,"&lt;&gt;Complete",$E$6:$E227,"&lt;&gt;N/A"),"")</f>
        <v/>
      </c>
      <c r="K227" s="65" t="str">
        <f>IF(AND($F227&lt;&gt;"",$F227='10. Owner View'!$C$4,$E227&lt;&gt;"Complete",$E227&lt;&gt;"N/A"),COUNTIFS($F$6:$F227,'10. Owner View'!$C$4,$E$6:$E227,"&lt;&gt;Complete",$E$6:$E227,"&lt;&gt;N/A"),"")</f>
        <v/>
      </c>
    </row>
    <row r="228" spans="1:11" x14ac:dyDescent="0.45">
      <c r="A228" s="61" t="s">
        <v>1270</v>
      </c>
      <c r="B228" s="48" t="s">
        <v>111</v>
      </c>
      <c r="C228" s="55" t="s">
        <v>1271</v>
      </c>
      <c r="D228" s="62" t="s">
        <v>402</v>
      </c>
      <c r="E228" s="63" t="s">
        <v>827</v>
      </c>
      <c r="F228" s="63"/>
      <c r="G228" s="64"/>
      <c r="H228" s="47" t="str">
        <f t="shared" ca="1" si="3"/>
        <v/>
      </c>
      <c r="I228" s="63"/>
      <c r="J228" s="65" t="str">
        <f>IF(AND($D228="P1",$E228&lt;&gt;"Complete",$E228&lt;&gt;"N/A"),COUNTIFS($D$6:$D228,"P1",$E$6:$E228,"&lt;&gt;Complete",$E$6:$E228,"&lt;&gt;N/A"),"")</f>
        <v/>
      </c>
      <c r="K228" s="65" t="str">
        <f>IF(AND($F228&lt;&gt;"",$F228='10. Owner View'!$C$4,$E228&lt;&gt;"Complete",$E228&lt;&gt;"N/A"),COUNTIFS($F$6:$F228,'10. Owner View'!$C$4,$E$6:$E228,"&lt;&gt;Complete",$E$6:$E228,"&lt;&gt;N/A"),"")</f>
        <v/>
      </c>
    </row>
    <row r="229" spans="1:11" x14ac:dyDescent="0.45">
      <c r="A229" s="61" t="s">
        <v>1272</v>
      </c>
      <c r="B229" s="48" t="s">
        <v>111</v>
      </c>
      <c r="C229" s="55" t="s">
        <v>1273</v>
      </c>
      <c r="D229" s="62" t="s">
        <v>402</v>
      </c>
      <c r="E229" s="63" t="s">
        <v>827</v>
      </c>
      <c r="F229" s="63"/>
      <c r="G229" s="64"/>
      <c r="H229" s="47" t="str">
        <f t="shared" ca="1" si="3"/>
        <v/>
      </c>
      <c r="I229" s="63"/>
      <c r="J229" s="65" t="str">
        <f>IF(AND($D229="P1",$E229&lt;&gt;"Complete",$E229&lt;&gt;"N/A"),COUNTIFS($D$6:$D229,"P1",$E$6:$E229,"&lt;&gt;Complete",$E$6:$E229,"&lt;&gt;N/A"),"")</f>
        <v/>
      </c>
      <c r="K229" s="65" t="str">
        <f>IF(AND($F229&lt;&gt;"",$F229='10. Owner View'!$C$4,$E229&lt;&gt;"Complete",$E229&lt;&gt;"N/A"),COUNTIFS($F$6:$F229,'10. Owner View'!$C$4,$E$6:$E229,"&lt;&gt;Complete",$E$6:$E229,"&lt;&gt;N/A"),"")</f>
        <v/>
      </c>
    </row>
    <row r="230" spans="1:11" x14ac:dyDescent="0.45">
      <c r="A230" s="61" t="s">
        <v>1274</v>
      </c>
      <c r="B230" s="48" t="s">
        <v>111</v>
      </c>
      <c r="C230" s="55" t="s">
        <v>1275</v>
      </c>
      <c r="D230" s="62" t="s">
        <v>468</v>
      </c>
      <c r="E230" s="63" t="s">
        <v>827</v>
      </c>
      <c r="F230" s="63"/>
      <c r="G230" s="64"/>
      <c r="H230" s="47" t="str">
        <f t="shared" ca="1" si="3"/>
        <v/>
      </c>
      <c r="I230" s="63"/>
      <c r="J230" s="65" t="str">
        <f>IF(AND($D230="P1",$E230&lt;&gt;"Complete",$E230&lt;&gt;"N/A"),COUNTIFS($D$6:$D230,"P1",$E$6:$E230,"&lt;&gt;Complete",$E$6:$E230,"&lt;&gt;N/A"),"")</f>
        <v/>
      </c>
      <c r="K230" s="65" t="str">
        <f>IF(AND($F230&lt;&gt;"",$F230='10. Owner View'!$C$4,$E230&lt;&gt;"Complete",$E230&lt;&gt;"N/A"),COUNTIFS($F$6:$F230,'10. Owner View'!$C$4,$E$6:$E230,"&lt;&gt;Complete",$E$6:$E230,"&lt;&gt;N/A"),"")</f>
        <v/>
      </c>
    </row>
    <row r="231" spans="1:11" x14ac:dyDescent="0.45">
      <c r="A231" s="61" t="s">
        <v>1276</v>
      </c>
      <c r="B231" s="48" t="s">
        <v>111</v>
      </c>
      <c r="C231" s="55" t="s">
        <v>1277</v>
      </c>
      <c r="D231" s="62" t="s">
        <v>402</v>
      </c>
      <c r="E231" s="63" t="s">
        <v>827</v>
      </c>
      <c r="F231" s="63"/>
      <c r="G231" s="64"/>
      <c r="H231" s="47" t="str">
        <f t="shared" ca="1" si="3"/>
        <v/>
      </c>
      <c r="I231" s="63"/>
      <c r="J231" s="65" t="str">
        <f>IF(AND($D231="P1",$E231&lt;&gt;"Complete",$E231&lt;&gt;"N/A"),COUNTIFS($D$6:$D231,"P1",$E$6:$E231,"&lt;&gt;Complete",$E$6:$E231,"&lt;&gt;N/A"),"")</f>
        <v/>
      </c>
      <c r="K231" s="65" t="str">
        <f>IF(AND($F231&lt;&gt;"",$F231='10. Owner View'!$C$4,$E231&lt;&gt;"Complete",$E231&lt;&gt;"N/A"),COUNTIFS($F$6:$F231,'10. Owner View'!$C$4,$E$6:$E231,"&lt;&gt;Complete",$E$6:$E231,"&lt;&gt;N/A"),"")</f>
        <v/>
      </c>
    </row>
    <row r="232" spans="1:11" x14ac:dyDescent="0.45">
      <c r="A232" s="61" t="s">
        <v>1278</v>
      </c>
      <c r="B232" s="48" t="s">
        <v>112</v>
      </c>
      <c r="C232" s="55" t="s">
        <v>1279</v>
      </c>
      <c r="D232" s="62" t="s">
        <v>402</v>
      </c>
      <c r="E232" s="63" t="s">
        <v>827</v>
      </c>
      <c r="F232" s="63"/>
      <c r="G232" s="64"/>
      <c r="H232" s="47" t="str">
        <f t="shared" ca="1" si="3"/>
        <v/>
      </c>
      <c r="I232" s="63"/>
      <c r="J232" s="65" t="str">
        <f>IF(AND($D232="P1",$E232&lt;&gt;"Complete",$E232&lt;&gt;"N/A"),COUNTIFS($D$6:$D232,"P1",$E$6:$E232,"&lt;&gt;Complete",$E$6:$E232,"&lt;&gt;N/A"),"")</f>
        <v/>
      </c>
      <c r="K232" s="65" t="str">
        <f>IF(AND($F232&lt;&gt;"",$F232='10. Owner View'!$C$4,$E232&lt;&gt;"Complete",$E232&lt;&gt;"N/A"),COUNTIFS($F$6:$F232,'10. Owner View'!$C$4,$E$6:$E232,"&lt;&gt;Complete",$E$6:$E232,"&lt;&gt;N/A"),"")</f>
        <v/>
      </c>
    </row>
    <row r="233" spans="1:11" x14ac:dyDescent="0.45">
      <c r="A233" s="61" t="s">
        <v>1280</v>
      </c>
      <c r="B233" s="48" t="s">
        <v>112</v>
      </c>
      <c r="C233" s="55" t="s">
        <v>1281</v>
      </c>
      <c r="D233" s="62" t="s">
        <v>402</v>
      </c>
      <c r="E233" s="63" t="s">
        <v>827</v>
      </c>
      <c r="F233" s="63"/>
      <c r="G233" s="64"/>
      <c r="H233" s="47" t="str">
        <f t="shared" ca="1" si="3"/>
        <v/>
      </c>
      <c r="I233" s="63"/>
      <c r="J233" s="65" t="str">
        <f>IF(AND($D233="P1",$E233&lt;&gt;"Complete",$E233&lt;&gt;"N/A"),COUNTIFS($D$6:$D233,"P1",$E$6:$E233,"&lt;&gt;Complete",$E$6:$E233,"&lt;&gt;N/A"),"")</f>
        <v/>
      </c>
      <c r="K233" s="65" t="str">
        <f>IF(AND($F233&lt;&gt;"",$F233='10. Owner View'!$C$4,$E233&lt;&gt;"Complete",$E233&lt;&gt;"N/A"),COUNTIFS($F$6:$F233,'10. Owner View'!$C$4,$E$6:$E233,"&lt;&gt;Complete",$E$6:$E233,"&lt;&gt;N/A"),"")</f>
        <v/>
      </c>
    </row>
    <row r="234" spans="1:11" x14ac:dyDescent="0.45">
      <c r="A234" s="61" t="s">
        <v>1282</v>
      </c>
      <c r="B234" s="48" t="s">
        <v>112</v>
      </c>
      <c r="C234" s="55" t="s">
        <v>1283</v>
      </c>
      <c r="D234" s="62" t="s">
        <v>402</v>
      </c>
      <c r="E234" s="63" t="s">
        <v>827</v>
      </c>
      <c r="F234" s="63"/>
      <c r="G234" s="64"/>
      <c r="H234" s="47" t="str">
        <f t="shared" ca="1" si="3"/>
        <v/>
      </c>
      <c r="I234" s="63"/>
      <c r="J234" s="65" t="str">
        <f>IF(AND($D234="P1",$E234&lt;&gt;"Complete",$E234&lt;&gt;"N/A"),COUNTIFS($D$6:$D234,"P1",$E$6:$E234,"&lt;&gt;Complete",$E$6:$E234,"&lt;&gt;N/A"),"")</f>
        <v/>
      </c>
      <c r="K234" s="65" t="str">
        <f>IF(AND($F234&lt;&gt;"",$F234='10. Owner View'!$C$4,$E234&lt;&gt;"Complete",$E234&lt;&gt;"N/A"),COUNTIFS($F$6:$F234,'10. Owner View'!$C$4,$E$6:$E234,"&lt;&gt;Complete",$E$6:$E234,"&lt;&gt;N/A"),"")</f>
        <v/>
      </c>
    </row>
    <row r="235" spans="1:11" x14ac:dyDescent="0.45">
      <c r="A235" s="61" t="s">
        <v>1284</v>
      </c>
      <c r="B235" s="48" t="s">
        <v>112</v>
      </c>
      <c r="C235" s="55" t="s">
        <v>1285</v>
      </c>
      <c r="D235" s="62" t="s">
        <v>402</v>
      </c>
      <c r="E235" s="63" t="s">
        <v>827</v>
      </c>
      <c r="F235" s="63"/>
      <c r="G235" s="64"/>
      <c r="H235" s="47" t="str">
        <f t="shared" ca="1" si="3"/>
        <v/>
      </c>
      <c r="I235" s="63"/>
      <c r="J235" s="65" t="str">
        <f>IF(AND($D235="P1",$E235&lt;&gt;"Complete",$E235&lt;&gt;"N/A"),COUNTIFS($D$6:$D235,"P1",$E$6:$E235,"&lt;&gt;Complete",$E$6:$E235,"&lt;&gt;N/A"),"")</f>
        <v/>
      </c>
      <c r="K235" s="65" t="str">
        <f>IF(AND($F235&lt;&gt;"",$F235='10. Owner View'!$C$4,$E235&lt;&gt;"Complete",$E235&lt;&gt;"N/A"),COUNTIFS($F$6:$F235,'10. Owner View'!$C$4,$E$6:$E235,"&lt;&gt;Complete",$E$6:$E235,"&lt;&gt;N/A"),"")</f>
        <v/>
      </c>
    </row>
    <row r="236" spans="1:11" x14ac:dyDescent="0.45">
      <c r="A236" s="61" t="s">
        <v>1286</v>
      </c>
      <c r="B236" s="48" t="s">
        <v>112</v>
      </c>
      <c r="C236" s="55" t="s">
        <v>1287</v>
      </c>
      <c r="D236" s="62" t="s">
        <v>402</v>
      </c>
      <c r="E236" s="63" t="s">
        <v>827</v>
      </c>
      <c r="F236" s="63"/>
      <c r="G236" s="64"/>
      <c r="H236" s="47" t="str">
        <f t="shared" ca="1" si="3"/>
        <v/>
      </c>
      <c r="I236" s="63"/>
      <c r="J236" s="65" t="str">
        <f>IF(AND($D236="P1",$E236&lt;&gt;"Complete",$E236&lt;&gt;"N/A"),COUNTIFS($D$6:$D236,"P1",$E$6:$E236,"&lt;&gt;Complete",$E$6:$E236,"&lt;&gt;N/A"),"")</f>
        <v/>
      </c>
      <c r="K236" s="65" t="str">
        <f>IF(AND($F236&lt;&gt;"",$F236='10. Owner View'!$C$4,$E236&lt;&gt;"Complete",$E236&lt;&gt;"N/A"),COUNTIFS($F$6:$F236,'10. Owner View'!$C$4,$E$6:$E236,"&lt;&gt;Complete",$E$6:$E236,"&lt;&gt;N/A"),"")</f>
        <v/>
      </c>
    </row>
    <row r="237" spans="1:11" x14ac:dyDescent="0.45">
      <c r="A237" s="61" t="s">
        <v>1288</v>
      </c>
      <c r="B237" s="48" t="s">
        <v>112</v>
      </c>
      <c r="C237" s="55" t="s">
        <v>1289</v>
      </c>
      <c r="D237" s="62" t="s">
        <v>402</v>
      </c>
      <c r="E237" s="63" t="s">
        <v>827</v>
      </c>
      <c r="F237" s="63"/>
      <c r="G237" s="64"/>
      <c r="H237" s="47" t="str">
        <f t="shared" ca="1" si="3"/>
        <v/>
      </c>
      <c r="I237" s="63"/>
      <c r="J237" s="65" t="str">
        <f>IF(AND($D237="P1",$E237&lt;&gt;"Complete",$E237&lt;&gt;"N/A"),COUNTIFS($D$6:$D237,"P1",$E$6:$E237,"&lt;&gt;Complete",$E$6:$E237,"&lt;&gt;N/A"),"")</f>
        <v/>
      </c>
      <c r="K237" s="65" t="str">
        <f>IF(AND($F237&lt;&gt;"",$F237='10. Owner View'!$C$4,$E237&lt;&gt;"Complete",$E237&lt;&gt;"N/A"),COUNTIFS($F$6:$F237,'10. Owner View'!$C$4,$E$6:$E237,"&lt;&gt;Complete",$E$6:$E237,"&lt;&gt;N/A"),"")</f>
        <v/>
      </c>
    </row>
    <row r="238" spans="1:11" x14ac:dyDescent="0.45">
      <c r="A238" s="61" t="s">
        <v>1290</v>
      </c>
      <c r="B238" s="48" t="s">
        <v>112</v>
      </c>
      <c r="C238" s="55" t="s">
        <v>1291</v>
      </c>
      <c r="D238" s="62" t="s">
        <v>468</v>
      </c>
      <c r="E238" s="63" t="s">
        <v>827</v>
      </c>
      <c r="F238" s="63"/>
      <c r="G238" s="64"/>
      <c r="H238" s="47" t="str">
        <f t="shared" ca="1" si="3"/>
        <v/>
      </c>
      <c r="I238" s="63"/>
      <c r="J238" s="65" t="str">
        <f>IF(AND($D238="P1",$E238&lt;&gt;"Complete",$E238&lt;&gt;"N/A"),COUNTIFS($D$6:$D238,"P1",$E$6:$E238,"&lt;&gt;Complete",$E$6:$E238,"&lt;&gt;N/A"),"")</f>
        <v/>
      </c>
      <c r="K238" s="65" t="str">
        <f>IF(AND($F238&lt;&gt;"",$F238='10. Owner View'!$C$4,$E238&lt;&gt;"Complete",$E238&lt;&gt;"N/A"),COUNTIFS($F$6:$F238,'10. Owner View'!$C$4,$E$6:$E238,"&lt;&gt;Complete",$E$6:$E238,"&lt;&gt;N/A"),"")</f>
        <v/>
      </c>
    </row>
    <row r="239" spans="1:11" x14ac:dyDescent="0.45">
      <c r="A239" s="61" t="s">
        <v>1292</v>
      </c>
      <c r="B239" s="48" t="s">
        <v>112</v>
      </c>
      <c r="C239" s="55" t="s">
        <v>1293</v>
      </c>
      <c r="D239" s="62" t="s">
        <v>402</v>
      </c>
      <c r="E239" s="63" t="s">
        <v>827</v>
      </c>
      <c r="F239" s="63"/>
      <c r="G239" s="64"/>
      <c r="H239" s="47" t="str">
        <f t="shared" ca="1" si="3"/>
        <v/>
      </c>
      <c r="I239" s="63"/>
      <c r="J239" s="65" t="str">
        <f>IF(AND($D239="P1",$E239&lt;&gt;"Complete",$E239&lt;&gt;"N/A"),COUNTIFS($D$6:$D239,"P1",$E$6:$E239,"&lt;&gt;Complete",$E$6:$E239,"&lt;&gt;N/A"),"")</f>
        <v/>
      </c>
      <c r="K239" s="65" t="str">
        <f>IF(AND($F239&lt;&gt;"",$F239='10. Owner View'!$C$4,$E239&lt;&gt;"Complete",$E239&lt;&gt;"N/A"),COUNTIFS($F$6:$F239,'10. Owner View'!$C$4,$E$6:$E239,"&lt;&gt;Complete",$E$6:$E239,"&lt;&gt;N/A"),"")</f>
        <v/>
      </c>
    </row>
    <row r="240" spans="1:11" x14ac:dyDescent="0.45">
      <c r="A240" s="61" t="s">
        <v>1294</v>
      </c>
      <c r="B240" s="48" t="s">
        <v>113</v>
      </c>
      <c r="C240" s="55" t="s">
        <v>1295</v>
      </c>
      <c r="D240" s="62" t="s">
        <v>358</v>
      </c>
      <c r="E240" s="63" t="s">
        <v>827</v>
      </c>
      <c r="F240" s="63"/>
      <c r="G240" s="64"/>
      <c r="H240" s="47" t="str">
        <f t="shared" ca="1" si="3"/>
        <v/>
      </c>
      <c r="I240" s="63"/>
      <c r="J240" s="65">
        <f>IF(AND($D240="P1",$E240&lt;&gt;"Complete",$E240&lt;&gt;"N/A"),COUNTIFS($D$6:$D240,"P1",$E$6:$E240,"&lt;&gt;Complete",$E$6:$E240,"&lt;&gt;N/A"),"")</f>
        <v>72</v>
      </c>
      <c r="K240" s="65" t="str">
        <f>IF(AND($F240&lt;&gt;"",$F240='10. Owner View'!$C$4,$E240&lt;&gt;"Complete",$E240&lt;&gt;"N/A"),COUNTIFS($F$6:$F240,'10. Owner View'!$C$4,$E$6:$E240,"&lt;&gt;Complete",$E$6:$E240,"&lt;&gt;N/A"),"")</f>
        <v/>
      </c>
    </row>
    <row r="241" spans="1:11" x14ac:dyDescent="0.45">
      <c r="A241" s="61" t="s">
        <v>1296</v>
      </c>
      <c r="B241" s="48" t="s">
        <v>113</v>
      </c>
      <c r="C241" s="55" t="s">
        <v>1297</v>
      </c>
      <c r="D241" s="62" t="s">
        <v>402</v>
      </c>
      <c r="E241" s="63" t="s">
        <v>827</v>
      </c>
      <c r="F241" s="63"/>
      <c r="G241" s="64"/>
      <c r="H241" s="47" t="str">
        <f t="shared" ca="1" si="3"/>
        <v/>
      </c>
      <c r="I241" s="63"/>
      <c r="J241" s="65" t="str">
        <f>IF(AND($D241="P1",$E241&lt;&gt;"Complete",$E241&lt;&gt;"N/A"),COUNTIFS($D$6:$D241,"P1",$E$6:$E241,"&lt;&gt;Complete",$E$6:$E241,"&lt;&gt;N/A"),"")</f>
        <v/>
      </c>
      <c r="K241" s="65" t="str">
        <f>IF(AND($F241&lt;&gt;"",$F241='10. Owner View'!$C$4,$E241&lt;&gt;"Complete",$E241&lt;&gt;"N/A"),COUNTIFS($F$6:$F241,'10. Owner View'!$C$4,$E$6:$E241,"&lt;&gt;Complete",$E$6:$E241,"&lt;&gt;N/A"),"")</f>
        <v/>
      </c>
    </row>
    <row r="242" spans="1:11" x14ac:dyDescent="0.45">
      <c r="A242" s="61" t="s">
        <v>1298</v>
      </c>
      <c r="B242" s="48" t="s">
        <v>113</v>
      </c>
      <c r="C242" s="55" t="s">
        <v>1299</v>
      </c>
      <c r="D242" s="62" t="s">
        <v>402</v>
      </c>
      <c r="E242" s="63" t="s">
        <v>827</v>
      </c>
      <c r="F242" s="63"/>
      <c r="G242" s="64"/>
      <c r="H242" s="47" t="str">
        <f t="shared" ca="1" si="3"/>
        <v/>
      </c>
      <c r="I242" s="63"/>
      <c r="J242" s="65" t="str">
        <f>IF(AND($D242="P1",$E242&lt;&gt;"Complete",$E242&lt;&gt;"N/A"),COUNTIFS($D$6:$D242,"P1",$E$6:$E242,"&lt;&gt;Complete",$E$6:$E242,"&lt;&gt;N/A"),"")</f>
        <v/>
      </c>
      <c r="K242" s="65" t="str">
        <f>IF(AND($F242&lt;&gt;"",$F242='10. Owner View'!$C$4,$E242&lt;&gt;"Complete",$E242&lt;&gt;"N/A"),COUNTIFS($F$6:$F242,'10. Owner View'!$C$4,$E$6:$E242,"&lt;&gt;Complete",$E$6:$E242,"&lt;&gt;N/A"),"")</f>
        <v/>
      </c>
    </row>
    <row r="243" spans="1:11" x14ac:dyDescent="0.45">
      <c r="A243" s="61" t="s">
        <v>1300</v>
      </c>
      <c r="B243" s="48" t="s">
        <v>113</v>
      </c>
      <c r="C243" s="55" t="s">
        <v>1301</v>
      </c>
      <c r="D243" s="62" t="s">
        <v>402</v>
      </c>
      <c r="E243" s="63" t="s">
        <v>827</v>
      </c>
      <c r="F243" s="63"/>
      <c r="G243" s="64"/>
      <c r="H243" s="47" t="str">
        <f t="shared" ca="1" si="3"/>
        <v/>
      </c>
      <c r="I243" s="63"/>
      <c r="J243" s="65" t="str">
        <f>IF(AND($D243="P1",$E243&lt;&gt;"Complete",$E243&lt;&gt;"N/A"),COUNTIFS($D$6:$D243,"P1",$E$6:$E243,"&lt;&gt;Complete",$E$6:$E243,"&lt;&gt;N/A"),"")</f>
        <v/>
      </c>
      <c r="K243" s="65" t="str">
        <f>IF(AND($F243&lt;&gt;"",$F243='10. Owner View'!$C$4,$E243&lt;&gt;"Complete",$E243&lt;&gt;"N/A"),COUNTIFS($F$6:$F243,'10. Owner View'!$C$4,$E$6:$E243,"&lt;&gt;Complete",$E$6:$E243,"&lt;&gt;N/A"),"")</f>
        <v/>
      </c>
    </row>
    <row r="244" spans="1:11" x14ac:dyDescent="0.45">
      <c r="A244" s="61" t="s">
        <v>1302</v>
      </c>
      <c r="B244" s="48" t="s">
        <v>113</v>
      </c>
      <c r="C244" s="55" t="s">
        <v>1303</v>
      </c>
      <c r="D244" s="62" t="s">
        <v>358</v>
      </c>
      <c r="E244" s="63" t="s">
        <v>827</v>
      </c>
      <c r="F244" s="63"/>
      <c r="G244" s="64"/>
      <c r="H244" s="47" t="str">
        <f t="shared" ca="1" si="3"/>
        <v/>
      </c>
      <c r="I244" s="63"/>
      <c r="J244" s="65">
        <f>IF(AND($D244="P1",$E244&lt;&gt;"Complete",$E244&lt;&gt;"N/A"),COUNTIFS($D$6:$D244,"P1",$E$6:$E244,"&lt;&gt;Complete",$E$6:$E244,"&lt;&gt;N/A"),"")</f>
        <v>73</v>
      </c>
      <c r="K244" s="65" t="str">
        <f>IF(AND($F244&lt;&gt;"",$F244='10. Owner View'!$C$4,$E244&lt;&gt;"Complete",$E244&lt;&gt;"N/A"),COUNTIFS($F$6:$F244,'10. Owner View'!$C$4,$E$6:$E244,"&lt;&gt;Complete",$E$6:$E244,"&lt;&gt;N/A"),"")</f>
        <v/>
      </c>
    </row>
    <row r="245" spans="1:11" x14ac:dyDescent="0.45">
      <c r="A245" s="61" t="s">
        <v>1304</v>
      </c>
      <c r="B245" s="48" t="s">
        <v>113</v>
      </c>
      <c r="C245" s="55" t="s">
        <v>1305</v>
      </c>
      <c r="D245" s="62" t="s">
        <v>358</v>
      </c>
      <c r="E245" s="63" t="s">
        <v>827</v>
      </c>
      <c r="F245" s="63"/>
      <c r="G245" s="64"/>
      <c r="H245" s="47" t="str">
        <f t="shared" ca="1" si="3"/>
        <v/>
      </c>
      <c r="I245" s="63"/>
      <c r="J245" s="65">
        <f>IF(AND($D245="P1",$E245&lt;&gt;"Complete",$E245&lt;&gt;"N/A"),COUNTIFS($D$6:$D245,"P1",$E$6:$E245,"&lt;&gt;Complete",$E$6:$E245,"&lt;&gt;N/A"),"")</f>
        <v>74</v>
      </c>
      <c r="K245" s="65" t="str">
        <f>IF(AND($F245&lt;&gt;"",$F245='10. Owner View'!$C$4,$E245&lt;&gt;"Complete",$E245&lt;&gt;"N/A"),COUNTIFS($F$6:$F245,'10. Owner View'!$C$4,$E$6:$E245,"&lt;&gt;Complete",$E$6:$E245,"&lt;&gt;N/A"),"")</f>
        <v/>
      </c>
    </row>
    <row r="246" spans="1:11" x14ac:dyDescent="0.45">
      <c r="A246" s="61" t="s">
        <v>1306</v>
      </c>
      <c r="B246" s="48" t="s">
        <v>113</v>
      </c>
      <c r="C246" s="55" t="s">
        <v>1307</v>
      </c>
      <c r="D246" s="62" t="s">
        <v>358</v>
      </c>
      <c r="E246" s="63" t="s">
        <v>827</v>
      </c>
      <c r="F246" s="63"/>
      <c r="G246" s="64"/>
      <c r="H246" s="47" t="str">
        <f t="shared" ca="1" si="3"/>
        <v/>
      </c>
      <c r="I246" s="63"/>
      <c r="J246" s="65">
        <f>IF(AND($D246="P1",$E246&lt;&gt;"Complete",$E246&lt;&gt;"N/A"),COUNTIFS($D$6:$D246,"P1",$E$6:$E246,"&lt;&gt;Complete",$E$6:$E246,"&lt;&gt;N/A"),"")</f>
        <v>75</v>
      </c>
      <c r="K246" s="65" t="str">
        <f>IF(AND($F246&lt;&gt;"",$F246='10. Owner View'!$C$4,$E246&lt;&gt;"Complete",$E246&lt;&gt;"N/A"),COUNTIFS($F$6:$F246,'10. Owner View'!$C$4,$E$6:$E246,"&lt;&gt;Complete",$E$6:$E246,"&lt;&gt;N/A"),"")</f>
        <v/>
      </c>
    </row>
    <row r="247" spans="1:11" x14ac:dyDescent="0.45">
      <c r="A247" s="61" t="s">
        <v>1308</v>
      </c>
      <c r="B247" s="48" t="s">
        <v>113</v>
      </c>
      <c r="C247" s="55" t="s">
        <v>1309</v>
      </c>
      <c r="D247" s="62" t="s">
        <v>358</v>
      </c>
      <c r="E247" s="63" t="s">
        <v>827</v>
      </c>
      <c r="F247" s="63"/>
      <c r="G247" s="64"/>
      <c r="H247" s="47" t="str">
        <f t="shared" ca="1" si="3"/>
        <v/>
      </c>
      <c r="I247" s="63"/>
      <c r="J247" s="65">
        <f>IF(AND($D247="P1",$E247&lt;&gt;"Complete",$E247&lt;&gt;"N/A"),COUNTIFS($D$6:$D247,"P1",$E$6:$E247,"&lt;&gt;Complete",$E$6:$E247,"&lt;&gt;N/A"),"")</f>
        <v>76</v>
      </c>
      <c r="K247" s="65" t="str">
        <f>IF(AND($F247&lt;&gt;"",$F247='10. Owner View'!$C$4,$E247&lt;&gt;"Complete",$E247&lt;&gt;"N/A"),COUNTIFS($F$6:$F247,'10. Owner View'!$C$4,$E$6:$E247,"&lt;&gt;Complete",$E$6:$E247,"&lt;&gt;N/A"),"")</f>
        <v/>
      </c>
    </row>
    <row r="248" spans="1:11" x14ac:dyDescent="0.45">
      <c r="A248" s="61" t="s">
        <v>1310</v>
      </c>
      <c r="B248" s="48" t="s">
        <v>113</v>
      </c>
      <c r="C248" s="55" t="s">
        <v>1311</v>
      </c>
      <c r="D248" s="62" t="s">
        <v>358</v>
      </c>
      <c r="E248" s="63" t="s">
        <v>827</v>
      </c>
      <c r="F248" s="63"/>
      <c r="G248" s="64"/>
      <c r="H248" s="47" t="str">
        <f t="shared" ca="1" si="3"/>
        <v/>
      </c>
      <c r="I248" s="63"/>
      <c r="J248" s="65">
        <f>IF(AND($D248="P1",$E248&lt;&gt;"Complete",$E248&lt;&gt;"N/A"),COUNTIFS($D$6:$D248,"P1",$E$6:$E248,"&lt;&gt;Complete",$E$6:$E248,"&lt;&gt;N/A"),"")</f>
        <v>77</v>
      </c>
      <c r="K248" s="65" t="str">
        <f>IF(AND($F248&lt;&gt;"",$F248='10. Owner View'!$C$4,$E248&lt;&gt;"Complete",$E248&lt;&gt;"N/A"),COUNTIFS($F$6:$F248,'10. Owner View'!$C$4,$E$6:$E248,"&lt;&gt;Complete",$E$6:$E248,"&lt;&gt;N/A"),"")</f>
        <v/>
      </c>
    </row>
    <row r="249" spans="1:11" x14ac:dyDescent="0.45">
      <c r="A249" s="61" t="s">
        <v>1312</v>
      </c>
      <c r="B249" s="48" t="s">
        <v>113</v>
      </c>
      <c r="C249" s="55" t="s">
        <v>1313</v>
      </c>
      <c r="D249" s="62" t="s">
        <v>402</v>
      </c>
      <c r="E249" s="63" t="s">
        <v>827</v>
      </c>
      <c r="F249" s="63"/>
      <c r="G249" s="64"/>
      <c r="H249" s="47" t="str">
        <f t="shared" ca="1" si="3"/>
        <v/>
      </c>
      <c r="I249" s="63"/>
      <c r="J249" s="65" t="str">
        <f>IF(AND($D249="P1",$E249&lt;&gt;"Complete",$E249&lt;&gt;"N/A"),COUNTIFS($D$6:$D249,"P1",$E$6:$E249,"&lt;&gt;Complete",$E$6:$E249,"&lt;&gt;N/A"),"")</f>
        <v/>
      </c>
      <c r="K249" s="65" t="str">
        <f>IF(AND($F249&lt;&gt;"",$F249='10. Owner View'!$C$4,$E249&lt;&gt;"Complete",$E249&lt;&gt;"N/A"),COUNTIFS($F$6:$F249,'10. Owner View'!$C$4,$E$6:$E249,"&lt;&gt;Complete",$E$6:$E249,"&lt;&gt;N/A"),"")</f>
        <v/>
      </c>
    </row>
    <row r="250" spans="1:11" x14ac:dyDescent="0.45">
      <c r="A250" s="61" t="s">
        <v>1314</v>
      </c>
      <c r="B250" s="48" t="s">
        <v>113</v>
      </c>
      <c r="C250" s="55" t="s">
        <v>1315</v>
      </c>
      <c r="D250" s="62" t="s">
        <v>402</v>
      </c>
      <c r="E250" s="63" t="s">
        <v>827</v>
      </c>
      <c r="F250" s="63"/>
      <c r="G250" s="64"/>
      <c r="H250" s="47" t="str">
        <f t="shared" ca="1" si="3"/>
        <v/>
      </c>
      <c r="I250" s="63"/>
      <c r="J250" s="65" t="str">
        <f>IF(AND($D250="P1",$E250&lt;&gt;"Complete",$E250&lt;&gt;"N/A"),COUNTIFS($D$6:$D250,"P1",$E$6:$E250,"&lt;&gt;Complete",$E$6:$E250,"&lt;&gt;N/A"),"")</f>
        <v/>
      </c>
      <c r="K250" s="65" t="str">
        <f>IF(AND($F250&lt;&gt;"",$F250='10. Owner View'!$C$4,$E250&lt;&gt;"Complete",$E250&lt;&gt;"N/A"),COUNTIFS($F$6:$F250,'10. Owner View'!$C$4,$E$6:$E250,"&lt;&gt;Complete",$E$6:$E250,"&lt;&gt;N/A"),"")</f>
        <v/>
      </c>
    </row>
    <row r="251" spans="1:11" x14ac:dyDescent="0.45">
      <c r="A251" s="61" t="s">
        <v>1316</v>
      </c>
      <c r="B251" s="48" t="s">
        <v>113</v>
      </c>
      <c r="C251" s="55" t="s">
        <v>1317</v>
      </c>
      <c r="D251" s="62" t="s">
        <v>402</v>
      </c>
      <c r="E251" s="63" t="s">
        <v>827</v>
      </c>
      <c r="F251" s="63"/>
      <c r="G251" s="64"/>
      <c r="H251" s="47" t="str">
        <f t="shared" ca="1" si="3"/>
        <v/>
      </c>
      <c r="I251" s="63"/>
      <c r="J251" s="65" t="str">
        <f>IF(AND($D251="P1",$E251&lt;&gt;"Complete",$E251&lt;&gt;"N/A"),COUNTIFS($D$6:$D251,"P1",$E$6:$E251,"&lt;&gt;Complete",$E$6:$E251,"&lt;&gt;N/A"),"")</f>
        <v/>
      </c>
      <c r="K251" s="65" t="str">
        <f>IF(AND($F251&lt;&gt;"",$F251='10. Owner View'!$C$4,$E251&lt;&gt;"Complete",$E251&lt;&gt;"N/A"),COUNTIFS($F$6:$F251,'10. Owner View'!$C$4,$E$6:$E251,"&lt;&gt;Complete",$E$6:$E251,"&lt;&gt;N/A"),"")</f>
        <v/>
      </c>
    </row>
    <row r="252" spans="1:11" ht="23.25" x14ac:dyDescent="0.45">
      <c r="A252" s="61" t="s">
        <v>1318</v>
      </c>
      <c r="B252" s="48" t="s">
        <v>114</v>
      </c>
      <c r="C252" s="55" t="s">
        <v>1319</v>
      </c>
      <c r="D252" s="62" t="s">
        <v>358</v>
      </c>
      <c r="E252" s="63" t="s">
        <v>827</v>
      </c>
      <c r="F252" s="63"/>
      <c r="G252" s="64"/>
      <c r="H252" s="47" t="str">
        <f t="shared" ca="1" si="3"/>
        <v/>
      </c>
      <c r="I252" s="63"/>
      <c r="J252" s="65">
        <f>IF(AND($D252="P1",$E252&lt;&gt;"Complete",$E252&lt;&gt;"N/A"),COUNTIFS($D$6:$D252,"P1",$E$6:$E252,"&lt;&gt;Complete",$E$6:$E252,"&lt;&gt;N/A"),"")</f>
        <v>78</v>
      </c>
      <c r="K252" s="65" t="str">
        <f>IF(AND($F252&lt;&gt;"",$F252='10. Owner View'!$C$4,$E252&lt;&gt;"Complete",$E252&lt;&gt;"N/A"),COUNTIFS($F$6:$F252,'10. Owner View'!$C$4,$E$6:$E252,"&lt;&gt;Complete",$E$6:$E252,"&lt;&gt;N/A"),"")</f>
        <v/>
      </c>
    </row>
    <row r="253" spans="1:11" ht="23.25" x14ac:dyDescent="0.45">
      <c r="A253" s="61" t="s">
        <v>1320</v>
      </c>
      <c r="B253" s="48" t="s">
        <v>114</v>
      </c>
      <c r="C253" s="55" t="s">
        <v>1321</v>
      </c>
      <c r="D253" s="62" t="s">
        <v>358</v>
      </c>
      <c r="E253" s="63" t="s">
        <v>827</v>
      </c>
      <c r="F253" s="63"/>
      <c r="G253" s="64"/>
      <c r="H253" s="47" t="str">
        <f t="shared" ca="1" si="3"/>
        <v/>
      </c>
      <c r="I253" s="63"/>
      <c r="J253" s="65">
        <f>IF(AND($D253="P1",$E253&lt;&gt;"Complete",$E253&lt;&gt;"N/A"),COUNTIFS($D$6:$D253,"P1",$E$6:$E253,"&lt;&gt;Complete",$E$6:$E253,"&lt;&gt;N/A"),"")</f>
        <v>79</v>
      </c>
      <c r="K253" s="65" t="str">
        <f>IF(AND($F253&lt;&gt;"",$F253='10. Owner View'!$C$4,$E253&lt;&gt;"Complete",$E253&lt;&gt;"N/A"),COUNTIFS($F$6:$F253,'10. Owner View'!$C$4,$E$6:$E253,"&lt;&gt;Complete",$E$6:$E253,"&lt;&gt;N/A"),"")</f>
        <v/>
      </c>
    </row>
    <row r="254" spans="1:11" ht="23.25" x14ac:dyDescent="0.45">
      <c r="A254" s="61" t="s">
        <v>1322</v>
      </c>
      <c r="B254" s="48" t="s">
        <v>114</v>
      </c>
      <c r="C254" s="55" t="s">
        <v>1323</v>
      </c>
      <c r="D254" s="62" t="s">
        <v>358</v>
      </c>
      <c r="E254" s="63" t="s">
        <v>827</v>
      </c>
      <c r="F254" s="63"/>
      <c r="G254" s="64"/>
      <c r="H254" s="47" t="str">
        <f t="shared" ca="1" si="3"/>
        <v/>
      </c>
      <c r="I254" s="63"/>
      <c r="J254" s="65">
        <f>IF(AND($D254="P1",$E254&lt;&gt;"Complete",$E254&lt;&gt;"N/A"),COUNTIFS($D$6:$D254,"P1",$E$6:$E254,"&lt;&gt;Complete",$E$6:$E254,"&lt;&gt;N/A"),"")</f>
        <v>80</v>
      </c>
      <c r="K254" s="65" t="str">
        <f>IF(AND($F254&lt;&gt;"",$F254='10. Owner View'!$C$4,$E254&lt;&gt;"Complete",$E254&lt;&gt;"N/A"),COUNTIFS($F$6:$F254,'10. Owner View'!$C$4,$E$6:$E254,"&lt;&gt;Complete",$E$6:$E254,"&lt;&gt;N/A"),"")</f>
        <v/>
      </c>
    </row>
    <row r="255" spans="1:11" ht="23.25" x14ac:dyDescent="0.45">
      <c r="A255" s="61" t="s">
        <v>1324</v>
      </c>
      <c r="B255" s="48" t="s">
        <v>114</v>
      </c>
      <c r="C255" s="55" t="s">
        <v>1325</v>
      </c>
      <c r="D255" s="62" t="s">
        <v>402</v>
      </c>
      <c r="E255" s="63" t="s">
        <v>827</v>
      </c>
      <c r="F255" s="63"/>
      <c r="G255" s="64"/>
      <c r="H255" s="47" t="str">
        <f t="shared" ca="1" si="3"/>
        <v/>
      </c>
      <c r="I255" s="63"/>
      <c r="J255" s="65" t="str">
        <f>IF(AND($D255="P1",$E255&lt;&gt;"Complete",$E255&lt;&gt;"N/A"),COUNTIFS($D$6:$D255,"P1",$E$6:$E255,"&lt;&gt;Complete",$E$6:$E255,"&lt;&gt;N/A"),"")</f>
        <v/>
      </c>
      <c r="K255" s="65" t="str">
        <f>IF(AND($F255&lt;&gt;"",$F255='10. Owner View'!$C$4,$E255&lt;&gt;"Complete",$E255&lt;&gt;"N/A"),COUNTIFS($F$6:$F255,'10. Owner View'!$C$4,$E$6:$E255,"&lt;&gt;Complete",$E$6:$E255,"&lt;&gt;N/A"),"")</f>
        <v/>
      </c>
    </row>
    <row r="256" spans="1:11" ht="23.25" x14ac:dyDescent="0.45">
      <c r="A256" s="61" t="s">
        <v>1326</v>
      </c>
      <c r="B256" s="48" t="s">
        <v>114</v>
      </c>
      <c r="C256" s="55" t="s">
        <v>1327</v>
      </c>
      <c r="D256" s="62" t="s">
        <v>358</v>
      </c>
      <c r="E256" s="63" t="s">
        <v>827</v>
      </c>
      <c r="F256" s="63"/>
      <c r="G256" s="64"/>
      <c r="H256" s="47" t="str">
        <f t="shared" ca="1" si="3"/>
        <v/>
      </c>
      <c r="I256" s="63"/>
      <c r="J256" s="65">
        <f>IF(AND($D256="P1",$E256&lt;&gt;"Complete",$E256&lt;&gt;"N/A"),COUNTIFS($D$6:$D256,"P1",$E$6:$E256,"&lt;&gt;Complete",$E$6:$E256,"&lt;&gt;N/A"),"")</f>
        <v>81</v>
      </c>
      <c r="K256" s="65" t="str">
        <f>IF(AND($F256&lt;&gt;"",$F256='10. Owner View'!$C$4,$E256&lt;&gt;"Complete",$E256&lt;&gt;"N/A"),COUNTIFS($F$6:$F256,'10. Owner View'!$C$4,$E$6:$E256,"&lt;&gt;Complete",$E$6:$E256,"&lt;&gt;N/A"),"")</f>
        <v/>
      </c>
    </row>
    <row r="257" spans="1:11" ht="23.25" x14ac:dyDescent="0.45">
      <c r="A257" s="61" t="s">
        <v>1328</v>
      </c>
      <c r="B257" s="48" t="s">
        <v>114</v>
      </c>
      <c r="C257" s="55" t="s">
        <v>1329</v>
      </c>
      <c r="D257" s="62" t="s">
        <v>358</v>
      </c>
      <c r="E257" s="63" t="s">
        <v>827</v>
      </c>
      <c r="F257" s="63"/>
      <c r="G257" s="64"/>
      <c r="H257" s="47" t="str">
        <f t="shared" ca="1" si="3"/>
        <v/>
      </c>
      <c r="I257" s="63"/>
      <c r="J257" s="65">
        <f>IF(AND($D257="P1",$E257&lt;&gt;"Complete",$E257&lt;&gt;"N/A"),COUNTIFS($D$6:$D257,"P1",$E$6:$E257,"&lt;&gt;Complete",$E$6:$E257,"&lt;&gt;N/A"),"")</f>
        <v>82</v>
      </c>
      <c r="K257" s="65" t="str">
        <f>IF(AND($F257&lt;&gt;"",$F257='10. Owner View'!$C$4,$E257&lt;&gt;"Complete",$E257&lt;&gt;"N/A"),COUNTIFS($F$6:$F257,'10. Owner View'!$C$4,$E$6:$E257,"&lt;&gt;Complete",$E$6:$E257,"&lt;&gt;N/A"),"")</f>
        <v/>
      </c>
    </row>
    <row r="258" spans="1:11" ht="23.25" x14ac:dyDescent="0.45">
      <c r="A258" s="61" t="s">
        <v>1330</v>
      </c>
      <c r="B258" s="48" t="s">
        <v>114</v>
      </c>
      <c r="C258" s="55" t="s">
        <v>1331</v>
      </c>
      <c r="D258" s="62" t="s">
        <v>358</v>
      </c>
      <c r="E258" s="63" t="s">
        <v>827</v>
      </c>
      <c r="F258" s="63"/>
      <c r="G258" s="64"/>
      <c r="H258" s="47" t="str">
        <f t="shared" ca="1" si="3"/>
        <v/>
      </c>
      <c r="I258" s="63"/>
      <c r="J258" s="65">
        <f>IF(AND($D258="P1",$E258&lt;&gt;"Complete",$E258&lt;&gt;"N/A"),COUNTIFS($D$6:$D258,"P1",$E$6:$E258,"&lt;&gt;Complete",$E$6:$E258,"&lt;&gt;N/A"),"")</f>
        <v>83</v>
      </c>
      <c r="K258" s="65" t="str">
        <f>IF(AND($F258&lt;&gt;"",$F258='10. Owner View'!$C$4,$E258&lt;&gt;"Complete",$E258&lt;&gt;"N/A"),COUNTIFS($F$6:$F258,'10. Owner View'!$C$4,$E$6:$E258,"&lt;&gt;Complete",$E$6:$E258,"&lt;&gt;N/A"),"")</f>
        <v/>
      </c>
    </row>
    <row r="259" spans="1:11" ht="23.25" x14ac:dyDescent="0.45">
      <c r="A259" s="61" t="s">
        <v>1332</v>
      </c>
      <c r="B259" s="48" t="s">
        <v>114</v>
      </c>
      <c r="C259" s="55" t="s">
        <v>1333</v>
      </c>
      <c r="D259" s="62" t="s">
        <v>402</v>
      </c>
      <c r="E259" s="63" t="s">
        <v>827</v>
      </c>
      <c r="F259" s="63"/>
      <c r="G259" s="64"/>
      <c r="H259" s="47" t="str">
        <f t="shared" ca="1" si="3"/>
        <v/>
      </c>
      <c r="I259" s="63"/>
      <c r="J259" s="65" t="str">
        <f>IF(AND($D259="P1",$E259&lt;&gt;"Complete",$E259&lt;&gt;"N/A"),COUNTIFS($D$6:$D259,"P1",$E$6:$E259,"&lt;&gt;Complete",$E$6:$E259,"&lt;&gt;N/A"),"")</f>
        <v/>
      </c>
      <c r="K259" s="65" t="str">
        <f>IF(AND($F259&lt;&gt;"",$F259='10. Owner View'!$C$4,$E259&lt;&gt;"Complete",$E259&lt;&gt;"N/A"),COUNTIFS($F$6:$F259,'10. Owner View'!$C$4,$E$6:$E259,"&lt;&gt;Complete",$E$6:$E259,"&lt;&gt;N/A"),"")</f>
        <v/>
      </c>
    </row>
    <row r="260" spans="1:11" ht="23.25" x14ac:dyDescent="0.45">
      <c r="A260" s="61" t="s">
        <v>1334</v>
      </c>
      <c r="B260" s="48" t="s">
        <v>114</v>
      </c>
      <c r="C260" s="55" t="s">
        <v>1335</v>
      </c>
      <c r="D260" s="62" t="s">
        <v>402</v>
      </c>
      <c r="E260" s="63" t="s">
        <v>827</v>
      </c>
      <c r="F260" s="63"/>
      <c r="G260" s="64"/>
      <c r="H260" s="47" t="str">
        <f t="shared" ca="1" si="3"/>
        <v/>
      </c>
      <c r="I260" s="63"/>
      <c r="J260" s="65" t="str">
        <f>IF(AND($D260="P1",$E260&lt;&gt;"Complete",$E260&lt;&gt;"N/A"),COUNTIFS($D$6:$D260,"P1",$E$6:$E260,"&lt;&gt;Complete",$E$6:$E260,"&lt;&gt;N/A"),"")</f>
        <v/>
      </c>
      <c r="K260" s="65" t="str">
        <f>IF(AND($F260&lt;&gt;"",$F260='10. Owner View'!$C$4,$E260&lt;&gt;"Complete",$E260&lt;&gt;"N/A"),COUNTIFS($F$6:$F260,'10. Owner View'!$C$4,$E$6:$E260,"&lt;&gt;Complete",$E$6:$E260,"&lt;&gt;N/A"),"")</f>
        <v/>
      </c>
    </row>
    <row r="261" spans="1:11" ht="23.25" x14ac:dyDescent="0.45">
      <c r="A261" s="61" t="s">
        <v>1336</v>
      </c>
      <c r="B261" s="48" t="s">
        <v>114</v>
      </c>
      <c r="C261" s="55" t="s">
        <v>1337</v>
      </c>
      <c r="D261" s="62" t="s">
        <v>402</v>
      </c>
      <c r="E261" s="63" t="s">
        <v>827</v>
      </c>
      <c r="F261" s="63"/>
      <c r="G261" s="64"/>
      <c r="H261" s="47" t="str">
        <f t="shared" ca="1" si="3"/>
        <v/>
      </c>
      <c r="I261" s="63"/>
      <c r="J261" s="65" t="str">
        <f>IF(AND($D261="P1",$E261&lt;&gt;"Complete",$E261&lt;&gt;"N/A"),COUNTIFS($D$6:$D261,"P1",$E$6:$E261,"&lt;&gt;Complete",$E$6:$E261,"&lt;&gt;N/A"),"")</f>
        <v/>
      </c>
      <c r="K261" s="65" t="str">
        <f>IF(AND($F261&lt;&gt;"",$F261='10. Owner View'!$C$4,$E261&lt;&gt;"Complete",$E261&lt;&gt;"N/A"),COUNTIFS($F$6:$F261,'10. Owner View'!$C$4,$E$6:$E261,"&lt;&gt;Complete",$E$6:$E261,"&lt;&gt;N/A"),"")</f>
        <v/>
      </c>
    </row>
    <row r="262" spans="1:11" ht="23.25" x14ac:dyDescent="0.45">
      <c r="A262" s="61" t="s">
        <v>1338</v>
      </c>
      <c r="B262" s="48" t="s">
        <v>114</v>
      </c>
      <c r="C262" s="55" t="s">
        <v>1339</v>
      </c>
      <c r="D262" s="62" t="s">
        <v>402</v>
      </c>
      <c r="E262" s="63" t="s">
        <v>827</v>
      </c>
      <c r="F262" s="63"/>
      <c r="G262" s="64"/>
      <c r="H262" s="47" t="str">
        <f t="shared" ca="1" si="3"/>
        <v/>
      </c>
      <c r="I262" s="63"/>
      <c r="J262" s="65" t="str">
        <f>IF(AND($D262="P1",$E262&lt;&gt;"Complete",$E262&lt;&gt;"N/A"),COUNTIFS($D$6:$D262,"P1",$E$6:$E262,"&lt;&gt;Complete",$E$6:$E262,"&lt;&gt;N/A"),"")</f>
        <v/>
      </c>
      <c r="K262" s="65" t="str">
        <f>IF(AND($F262&lt;&gt;"",$F262='10. Owner View'!$C$4,$E262&lt;&gt;"Complete",$E262&lt;&gt;"N/A"),COUNTIFS($F$6:$F262,'10. Owner View'!$C$4,$E$6:$E262,"&lt;&gt;Complete",$E$6:$E262,"&lt;&gt;N/A"),"")</f>
        <v/>
      </c>
    </row>
    <row r="263" spans="1:11" ht="23.25" x14ac:dyDescent="0.45">
      <c r="A263" s="61" t="s">
        <v>1340</v>
      </c>
      <c r="B263" s="48" t="s">
        <v>114</v>
      </c>
      <c r="C263" s="55" t="s">
        <v>1341</v>
      </c>
      <c r="D263" s="62" t="s">
        <v>468</v>
      </c>
      <c r="E263" s="63" t="s">
        <v>827</v>
      </c>
      <c r="F263" s="63"/>
      <c r="G263" s="64"/>
      <c r="H263" s="47" t="str">
        <f t="shared" ca="1" si="3"/>
        <v/>
      </c>
      <c r="I263" s="63"/>
      <c r="J263" s="65" t="str">
        <f>IF(AND($D263="P1",$E263&lt;&gt;"Complete",$E263&lt;&gt;"N/A"),COUNTIFS($D$6:$D263,"P1",$E$6:$E263,"&lt;&gt;Complete",$E$6:$E263,"&lt;&gt;N/A"),"")</f>
        <v/>
      </c>
      <c r="K263" s="65" t="str">
        <f>IF(AND($F263&lt;&gt;"",$F263='10. Owner View'!$C$4,$E263&lt;&gt;"Complete",$E263&lt;&gt;"N/A"),COUNTIFS($F$6:$F263,'10. Owner View'!$C$4,$E$6:$E263,"&lt;&gt;Complete",$E$6:$E263,"&lt;&gt;N/A"),"")</f>
        <v/>
      </c>
    </row>
    <row r="264" spans="1:11" ht="23.25" x14ac:dyDescent="0.45">
      <c r="A264" s="61" t="s">
        <v>1342</v>
      </c>
      <c r="B264" s="48" t="s">
        <v>114</v>
      </c>
      <c r="C264" s="55" t="s">
        <v>1343</v>
      </c>
      <c r="D264" s="62" t="s">
        <v>402</v>
      </c>
      <c r="E264" s="63" t="s">
        <v>827</v>
      </c>
      <c r="F264" s="63"/>
      <c r="G264" s="64"/>
      <c r="H264" s="47" t="str">
        <f t="shared" ca="1" si="3"/>
        <v/>
      </c>
      <c r="I264" s="63"/>
      <c r="J264" s="65" t="str">
        <f>IF(AND($D264="P1",$E264&lt;&gt;"Complete",$E264&lt;&gt;"N/A"),COUNTIFS($D$6:$D264,"P1",$E$6:$E264,"&lt;&gt;Complete",$E$6:$E264,"&lt;&gt;N/A"),"")</f>
        <v/>
      </c>
      <c r="K264" s="65" t="str">
        <f>IF(AND($F264&lt;&gt;"",$F264='10. Owner View'!$C$4,$E264&lt;&gt;"Complete",$E264&lt;&gt;"N/A"),COUNTIFS($F$6:$F264,'10. Owner View'!$C$4,$E$6:$E264,"&lt;&gt;Complete",$E$6:$E264,"&lt;&gt;N/A"),"")</f>
        <v/>
      </c>
    </row>
    <row r="265" spans="1:11" ht="23.25" x14ac:dyDescent="0.45">
      <c r="A265" s="61" t="s">
        <v>1344</v>
      </c>
      <c r="B265" s="48" t="s">
        <v>114</v>
      </c>
      <c r="C265" s="55" t="s">
        <v>1345</v>
      </c>
      <c r="D265" s="62" t="s">
        <v>402</v>
      </c>
      <c r="E265" s="63" t="s">
        <v>827</v>
      </c>
      <c r="F265" s="63"/>
      <c r="G265" s="64"/>
      <c r="H265" s="47" t="str">
        <f t="shared" ca="1" si="3"/>
        <v/>
      </c>
      <c r="I265" s="63"/>
      <c r="J265" s="65" t="str">
        <f>IF(AND($D265="P1",$E265&lt;&gt;"Complete",$E265&lt;&gt;"N/A"),COUNTIFS($D$6:$D265,"P1",$E$6:$E265,"&lt;&gt;Complete",$E$6:$E265,"&lt;&gt;N/A"),"")</f>
        <v/>
      </c>
      <c r="K265" s="65" t="str">
        <f>IF(AND($F265&lt;&gt;"",$F265='10. Owner View'!$C$4,$E265&lt;&gt;"Complete",$E265&lt;&gt;"N/A"),COUNTIFS($F$6:$F265,'10. Owner View'!$C$4,$E$6:$E265,"&lt;&gt;Complete",$E$6:$E265,"&lt;&gt;N/A"),"")</f>
        <v/>
      </c>
    </row>
  </sheetData>
  <autoFilter ref="A5:I265" xr:uid="{00000000-0009-0000-0000-000009000000}"/>
  <mergeCells count="3">
    <mergeCell ref="A1:I1"/>
    <mergeCell ref="A2:I2"/>
    <mergeCell ref="A3:I3"/>
  </mergeCells>
  <conditionalFormatting sqref="D6:D265">
    <cfRule type="cellIs" dxfId="28" priority="5" operator="equal">
      <formula>"P1"</formula>
    </cfRule>
    <cfRule type="cellIs" dxfId="27" priority="6" operator="equal">
      <formula>"P2"</formula>
    </cfRule>
    <cfRule type="cellIs" dxfId="26" priority="7" operator="equal">
      <formula>"P3"</formula>
    </cfRule>
  </conditionalFormatting>
  <conditionalFormatting sqref="E6:E265">
    <cfRule type="cellIs" dxfId="25" priority="2" operator="equal">
      <formula>"Complete"</formula>
    </cfRule>
    <cfRule type="cellIs" dxfId="24" priority="3" operator="equal">
      <formula>"In Progress"</formula>
    </cfRule>
    <cfRule type="cellIs" dxfId="23" priority="4" operator="equal">
      <formula>"Not Started"</formula>
    </cfRule>
  </conditionalFormatting>
  <conditionalFormatting sqref="H6:H265">
    <cfRule type="cellIs" dxfId="22" priority="8" operator="lessThan">
      <formula>0</formula>
    </cfRule>
  </conditionalFormatting>
  <dataValidations count="2">
    <dataValidation type="list" sqref="E6:E265" xr:uid="{00000000-0002-0000-0900-000000000000}">
      <formula1>"Not Started,In Progress,Complete,N/A"</formula1>
      <formula2>0</formula2>
    </dataValidation>
    <dataValidation type="list" allowBlank="1" sqref="F6:F265" xr:uid="{00000000-0002-0000-0900-000001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B3261E"/>
    <pageSetUpPr fitToPage="1"/>
  </sheetPr>
  <dimension ref="A1:G95"/>
  <sheetViews>
    <sheetView showGridLines="0" zoomScaleNormal="100" workbookViewId="0">
      <pane ySplit="5" topLeftCell="A6" activePane="bottomLeft" state="frozen"/>
      <selection pane="bottomLeft"/>
    </sheetView>
  </sheetViews>
  <sheetFormatPr defaultColWidth="8.6640625" defaultRowHeight="14.25" x14ac:dyDescent="0.45"/>
  <cols>
    <col min="1" max="1" width="6" customWidth="1"/>
    <col min="2" max="2" width="10" customWidth="1"/>
    <col min="3" max="3" width="24" customWidth="1"/>
    <col min="4" max="4" width="58" customWidth="1"/>
    <col min="5" max="5" width="20" customWidth="1"/>
    <col min="6" max="7" width="14" customWidth="1"/>
  </cols>
  <sheetData>
    <row r="1" spans="1:7" ht="30" customHeight="1" x14ac:dyDescent="0.45">
      <c r="A1" s="122" t="s">
        <v>1346</v>
      </c>
      <c r="B1" s="122"/>
      <c r="C1" s="122"/>
      <c r="D1" s="122"/>
      <c r="E1" s="122"/>
      <c r="F1" s="122"/>
      <c r="G1" s="122"/>
    </row>
    <row r="2" spans="1:7" ht="18" customHeight="1" x14ac:dyDescent="0.45">
      <c r="A2" s="123" t="s">
        <v>1347</v>
      </c>
      <c r="B2" s="123"/>
      <c r="C2" s="123"/>
      <c r="D2" s="123"/>
      <c r="E2" s="123"/>
      <c r="F2" s="123"/>
      <c r="G2" s="123"/>
    </row>
    <row r="3" spans="1:7" ht="21.75" customHeight="1" x14ac:dyDescent="0.45">
      <c r="A3" s="124" t="s">
        <v>1348</v>
      </c>
      <c r="B3" s="124"/>
      <c r="C3" s="124"/>
      <c r="D3" s="124"/>
      <c r="E3" s="124"/>
      <c r="F3" s="124"/>
      <c r="G3" s="124"/>
    </row>
    <row r="5" spans="1:7" ht="30" customHeight="1" x14ac:dyDescent="0.45">
      <c r="A5" s="32" t="s">
        <v>1349</v>
      </c>
      <c r="B5" s="32" t="s">
        <v>817</v>
      </c>
      <c r="C5" s="32" t="s">
        <v>818</v>
      </c>
      <c r="D5" s="32" t="s">
        <v>1350</v>
      </c>
      <c r="E5" s="32" t="s">
        <v>648</v>
      </c>
      <c r="F5" s="32" t="s">
        <v>820</v>
      </c>
      <c r="G5" s="32" t="s">
        <v>580</v>
      </c>
    </row>
    <row r="6" spans="1:7" x14ac:dyDescent="0.45">
      <c r="A6" s="66">
        <f>IF(COUNT('8. Checklist'!$J$6:$J$265)&lt;1,"",1)</f>
        <v>1</v>
      </c>
      <c r="B6" s="48" t="str">
        <f>IFERROR(IF(INDEX('8. Checklist'!$A$6:$A$265,MATCH(1,'8. Checklist'!$J$6:$J$265,0))="","",INDEX('8. Checklist'!$A$6:$A$265,MATCH(1,'8. Checklist'!$J$6:$J$265,0))),"")</f>
        <v>GA-001</v>
      </c>
      <c r="C6" s="48" t="str">
        <f>IFERROR(IF(INDEX('8. Checklist'!$B$6:$B$265,MATCH(1,'8. Checklist'!$J$6:$J$265,0))="","",INDEX('8. Checklist'!$B$6:$B$265,MATCH(1,'8. Checklist'!$J$6:$J$265,0))),"")</f>
        <v>Governance &amp; Accountability</v>
      </c>
      <c r="D6" s="48" t="str">
        <f>IFERROR(IF(INDEX('8. Checklist'!$C$6:$C$265,MATCH(1,'8. Checklist'!$J$6:$J$265,0))="","",INDEX('8. Checklist'!$C$6:$C$265,MATCH(1,'8. Checklist'!$J$6:$J$265,0))),"")</f>
        <v>Establish an AI governance committee with cross-functional membership</v>
      </c>
      <c r="E6" s="48" t="str">
        <f>IFERROR(IF(INDEX('8. Checklist'!$F$6:$F$265,MATCH(1,'8. Checklist'!$J$6:$J$265,0))="","",INDEX('8. Checklist'!$F$6:$F$265,MATCH(1,'8. Checklist'!$J$6:$J$265,0))),"")</f>
        <v/>
      </c>
      <c r="F6" s="67" t="str">
        <f>IFERROR(IF(INDEX('8. Checklist'!$G$6:$G$265,MATCH(1,'8. Checklist'!$J$6:$J$265,0))="","",INDEX('8. Checklist'!$G$6:$G$265,MATCH(1,'8. Checklist'!$J$6:$J$265,0))),"")</f>
        <v/>
      </c>
      <c r="G6" s="48" t="str">
        <f>IFERROR(IF(INDEX('8. Checklist'!$E$6:$E$265,MATCH(1,'8. Checklist'!$J$6:$J$265,0))="","",INDEX('8. Checklist'!$E$6:$E$265,MATCH(1,'8. Checklist'!$J$6:$J$265,0))),"")</f>
        <v>Not Started</v>
      </c>
    </row>
    <row r="7" spans="1:7" x14ac:dyDescent="0.45">
      <c r="A7" s="68">
        <f>IF(COUNT('8. Checklist'!$J$6:$J$265)&lt;2,"",2)</f>
        <v>2</v>
      </c>
      <c r="B7" s="42" t="str">
        <f>IFERROR(IF(INDEX('8. Checklist'!$A$6:$A$265,MATCH(2,'8. Checklist'!$J$6:$J$265,0))="","",INDEX('8. Checklist'!$A$6:$A$265,MATCH(2,'8. Checklist'!$J$6:$J$265,0))),"")</f>
        <v>GA-002</v>
      </c>
      <c r="C7" s="42" t="str">
        <f>IFERROR(IF(INDEX('8. Checklist'!$B$6:$B$265,MATCH(2,'8. Checklist'!$J$6:$J$265,0))="","",INDEX('8. Checklist'!$B$6:$B$265,MATCH(2,'8. Checklist'!$J$6:$J$265,0))),"")</f>
        <v>Governance &amp; Accountability</v>
      </c>
      <c r="D7" s="42" t="str">
        <f>IFERROR(IF(INDEX('8. Checklist'!$C$6:$C$265,MATCH(2,'8. Checklist'!$J$6:$J$265,0))="","",INDEX('8. Checklist'!$C$6:$C$265,MATCH(2,'8. Checklist'!$J$6:$J$265,0))),"")</f>
        <v>Appoint a named AI Governance Lead with defined authority</v>
      </c>
      <c r="E7" s="42" t="str">
        <f>IFERROR(IF(INDEX('8. Checklist'!$F$6:$F$265,MATCH(2,'8. Checklist'!$J$6:$J$265,0))="","",INDEX('8. Checklist'!$F$6:$F$265,MATCH(2,'8. Checklist'!$J$6:$J$265,0))),"")</f>
        <v/>
      </c>
      <c r="F7" s="69" t="str">
        <f>IFERROR(IF(INDEX('8. Checklist'!$G$6:$G$265,MATCH(2,'8. Checklist'!$J$6:$J$265,0))="","",INDEX('8. Checklist'!$G$6:$G$265,MATCH(2,'8. Checklist'!$J$6:$J$265,0))),"")</f>
        <v/>
      </c>
      <c r="G7" s="42" t="str">
        <f>IFERROR(IF(INDEX('8. Checklist'!$E$6:$E$265,MATCH(2,'8. Checklist'!$J$6:$J$265,0))="","",INDEX('8. Checklist'!$E$6:$E$265,MATCH(2,'8. Checklist'!$J$6:$J$265,0))),"")</f>
        <v>Not Started</v>
      </c>
    </row>
    <row r="8" spans="1:7" x14ac:dyDescent="0.45">
      <c r="A8" s="66">
        <f>IF(COUNT('8. Checklist'!$J$6:$J$265)&lt;3,"",3)</f>
        <v>3</v>
      </c>
      <c r="B8" s="48" t="str">
        <f>IFERROR(IF(INDEX('8. Checklist'!$A$6:$A$265,MATCH(3,'8. Checklist'!$J$6:$J$265,0))="","",INDEX('8. Checklist'!$A$6:$A$265,MATCH(3,'8. Checklist'!$J$6:$J$265,0))),"")</f>
        <v>GA-003</v>
      </c>
      <c r="C8" s="48" t="str">
        <f>IFERROR(IF(INDEX('8. Checklist'!$B$6:$B$265,MATCH(3,'8. Checklist'!$J$6:$J$265,0))="","",INDEX('8. Checklist'!$B$6:$B$265,MATCH(3,'8. Checklist'!$J$6:$J$265,0))),"")</f>
        <v>Governance &amp; Accountability</v>
      </c>
      <c r="D8" s="48" t="str">
        <f>IFERROR(IF(INDEX('8. Checklist'!$C$6:$C$265,MATCH(3,'8. Checklist'!$J$6:$J$265,0))="","",INDEX('8. Checklist'!$C$6:$C$265,MATCH(3,'8. Checklist'!$J$6:$J$265,0))),"")</f>
        <v>Define board-level accountability for AI risk</v>
      </c>
      <c r="E8" s="48" t="str">
        <f>IFERROR(IF(INDEX('8. Checklist'!$F$6:$F$265,MATCH(3,'8. Checklist'!$J$6:$J$265,0))="","",INDEX('8. Checklist'!$F$6:$F$265,MATCH(3,'8. Checklist'!$J$6:$J$265,0))),"")</f>
        <v/>
      </c>
      <c r="F8" s="67" t="str">
        <f>IFERROR(IF(INDEX('8. Checklist'!$G$6:$G$265,MATCH(3,'8. Checklist'!$J$6:$J$265,0))="","",INDEX('8. Checklist'!$G$6:$G$265,MATCH(3,'8. Checklist'!$J$6:$J$265,0))),"")</f>
        <v/>
      </c>
      <c r="G8" s="48" t="str">
        <f>IFERROR(IF(INDEX('8. Checklist'!$E$6:$E$265,MATCH(3,'8. Checklist'!$J$6:$J$265,0))="","",INDEX('8. Checklist'!$E$6:$E$265,MATCH(3,'8. Checklist'!$J$6:$J$265,0))),"")</f>
        <v>Not Started</v>
      </c>
    </row>
    <row r="9" spans="1:7" x14ac:dyDescent="0.45">
      <c r="A9" s="68">
        <f>IF(COUNT('8. Checklist'!$J$6:$J$265)&lt;4,"",4)</f>
        <v>4</v>
      </c>
      <c r="B9" s="42" t="str">
        <f>IFERROR(IF(INDEX('8. Checklist'!$A$6:$A$265,MATCH(4,'8. Checklist'!$J$6:$J$265,0))="","",INDEX('8. Checklist'!$A$6:$A$265,MATCH(4,'8. Checklist'!$J$6:$J$265,0))),"")</f>
        <v>GA-004</v>
      </c>
      <c r="C9" s="42" t="str">
        <f>IFERROR(IF(INDEX('8. Checklist'!$B$6:$B$265,MATCH(4,'8. Checklist'!$J$6:$J$265,0))="","",INDEX('8. Checklist'!$B$6:$B$265,MATCH(4,'8. Checklist'!$J$6:$J$265,0))),"")</f>
        <v>Governance &amp; Accountability</v>
      </c>
      <c r="D9" s="42" t="str">
        <f>IFERROR(IF(INDEX('8. Checklist'!$C$6:$C$265,MATCH(4,'8. Checklist'!$J$6:$J$265,0))="","",INDEX('8. Checklist'!$C$6:$C$265,MATCH(4,'8. Checklist'!$J$6:$J$265,0))),"")</f>
        <v>Publish an approved enterprise AI policy</v>
      </c>
      <c r="E9" s="42" t="str">
        <f>IFERROR(IF(INDEX('8. Checklist'!$F$6:$F$265,MATCH(4,'8. Checklist'!$J$6:$J$265,0))="","",INDEX('8. Checklist'!$F$6:$F$265,MATCH(4,'8. Checklist'!$J$6:$J$265,0))),"")</f>
        <v/>
      </c>
      <c r="F9" s="69" t="str">
        <f>IFERROR(IF(INDEX('8. Checklist'!$G$6:$G$265,MATCH(4,'8. Checklist'!$J$6:$J$265,0))="","",INDEX('8. Checklist'!$G$6:$G$265,MATCH(4,'8. Checklist'!$J$6:$J$265,0))),"")</f>
        <v/>
      </c>
      <c r="G9" s="42" t="str">
        <f>IFERROR(IF(INDEX('8. Checklist'!$E$6:$E$265,MATCH(4,'8. Checklist'!$J$6:$J$265,0))="","",INDEX('8. Checklist'!$E$6:$E$265,MATCH(4,'8. Checklist'!$J$6:$J$265,0))),"")</f>
        <v>Not Started</v>
      </c>
    </row>
    <row r="10" spans="1:7" x14ac:dyDescent="0.45">
      <c r="A10" s="66">
        <f>IF(COUNT('8. Checklist'!$J$6:$J$265)&lt;5,"",5)</f>
        <v>5</v>
      </c>
      <c r="B10" s="48" t="str">
        <f>IFERROR(IF(INDEX('8. Checklist'!$A$6:$A$265,MATCH(5,'8. Checklist'!$J$6:$J$265,0))="","",INDEX('8. Checklist'!$A$6:$A$265,MATCH(5,'8. Checklist'!$J$6:$J$265,0))),"")</f>
        <v>GA-005</v>
      </c>
      <c r="C10" s="48" t="str">
        <f>IFERROR(IF(INDEX('8. Checklist'!$B$6:$B$265,MATCH(5,'8. Checklist'!$J$6:$J$265,0))="","",INDEX('8. Checklist'!$B$6:$B$265,MATCH(5,'8. Checklist'!$J$6:$J$265,0))),"")</f>
        <v>Governance &amp; Accountability</v>
      </c>
      <c r="D10" s="48" t="str">
        <f>IFERROR(IF(INDEX('8. Checklist'!$C$6:$C$265,MATCH(5,'8. Checklist'!$J$6:$J$265,0))="","",INDEX('8. Checklist'!$C$6:$C$265,MATCH(5,'8. Checklist'!$J$6:$J$265,0))),"")</f>
        <v>Define AI governance scope and boundaries</v>
      </c>
      <c r="E10" s="48" t="str">
        <f>IFERROR(IF(INDEX('8. Checklist'!$F$6:$F$265,MATCH(5,'8. Checklist'!$J$6:$J$265,0))="","",INDEX('8. Checklist'!$F$6:$F$265,MATCH(5,'8. Checklist'!$J$6:$J$265,0))),"")</f>
        <v/>
      </c>
      <c r="F10" s="67" t="str">
        <f>IFERROR(IF(INDEX('8. Checklist'!$G$6:$G$265,MATCH(5,'8. Checklist'!$J$6:$J$265,0))="","",INDEX('8. Checklist'!$G$6:$G$265,MATCH(5,'8. Checklist'!$J$6:$J$265,0))),"")</f>
        <v/>
      </c>
      <c r="G10" s="48" t="str">
        <f>IFERROR(IF(INDEX('8. Checklist'!$E$6:$E$265,MATCH(5,'8. Checklist'!$J$6:$J$265,0))="","",INDEX('8. Checklist'!$E$6:$E$265,MATCH(5,'8. Checklist'!$J$6:$J$265,0))),"")</f>
        <v>Not Started</v>
      </c>
    </row>
    <row r="11" spans="1:7" x14ac:dyDescent="0.45">
      <c r="A11" s="68">
        <f>IF(COUNT('8. Checklist'!$J$6:$J$265)&lt;6,"",6)</f>
        <v>6</v>
      </c>
      <c r="B11" s="42" t="str">
        <f>IFERROR(IF(INDEX('8. Checklist'!$A$6:$A$265,MATCH(6,'8. Checklist'!$J$6:$J$265,0))="","",INDEX('8. Checklist'!$A$6:$A$265,MATCH(6,'8. Checklist'!$J$6:$J$265,0))),"")</f>
        <v>GA-006</v>
      </c>
      <c r="C11" s="42" t="str">
        <f>IFERROR(IF(INDEX('8. Checklist'!$B$6:$B$265,MATCH(6,'8. Checklist'!$J$6:$J$265,0))="","",INDEX('8. Checklist'!$B$6:$B$265,MATCH(6,'8. Checklist'!$J$6:$J$265,0))),"")</f>
        <v>Governance &amp; Accountability</v>
      </c>
      <c r="D11" s="42" t="str">
        <f>IFERROR(IF(INDEX('8. Checklist'!$C$6:$C$265,MATCH(6,'8. Checklist'!$J$6:$J$265,0))="","",INDEX('8. Checklist'!$C$6:$C$265,MATCH(6,'8. Checklist'!$J$6:$J$265,0))),"")</f>
        <v>Build a RACI with single accountability per governance activity</v>
      </c>
      <c r="E11" s="42" t="str">
        <f>IFERROR(IF(INDEX('8. Checklist'!$F$6:$F$265,MATCH(6,'8. Checklist'!$J$6:$J$265,0))="","",INDEX('8. Checklist'!$F$6:$F$265,MATCH(6,'8. Checklist'!$J$6:$J$265,0))),"")</f>
        <v/>
      </c>
      <c r="F11" s="69" t="str">
        <f>IFERROR(IF(INDEX('8. Checklist'!$G$6:$G$265,MATCH(6,'8. Checklist'!$J$6:$J$265,0))="","",INDEX('8. Checklist'!$G$6:$G$265,MATCH(6,'8. Checklist'!$J$6:$J$265,0))),"")</f>
        <v/>
      </c>
      <c r="G11" s="42" t="str">
        <f>IFERROR(IF(INDEX('8. Checklist'!$E$6:$E$265,MATCH(6,'8. Checklist'!$J$6:$J$265,0))="","",INDEX('8. Checklist'!$E$6:$E$265,MATCH(6,'8. Checklist'!$J$6:$J$265,0))),"")</f>
        <v>Not Started</v>
      </c>
    </row>
    <row r="12" spans="1:7" x14ac:dyDescent="0.45">
      <c r="A12" s="66">
        <f>IF(COUNT('8. Checklist'!$J$6:$J$265)&lt;7,"",7)</f>
        <v>7</v>
      </c>
      <c r="B12" s="48" t="str">
        <f>IFERROR(IF(INDEX('8. Checklist'!$A$6:$A$265,MATCH(7,'8. Checklist'!$J$6:$J$265,0))="","",INDEX('8. Checklist'!$A$6:$A$265,MATCH(7,'8. Checklist'!$J$6:$J$265,0))),"")</f>
        <v>GA-008</v>
      </c>
      <c r="C12" s="48" t="str">
        <f>IFERROR(IF(INDEX('8. Checklist'!$B$6:$B$265,MATCH(7,'8. Checklist'!$J$6:$J$265,0))="","",INDEX('8. Checklist'!$B$6:$B$265,MATCH(7,'8. Checklist'!$J$6:$J$265,0))),"")</f>
        <v>Governance &amp; Accountability</v>
      </c>
      <c r="D12" s="48" t="str">
        <f>IFERROR(IF(INDEX('8. Checklist'!$C$6:$C$265,MATCH(7,'8. Checklist'!$J$6:$J$265,0))="","",INDEX('8. Checklist'!$C$6:$C$265,MATCH(7,'8. Checklist'!$J$6:$J$265,0))),"")</f>
        <v>Establish a model/system approval gate for high-risk AI</v>
      </c>
      <c r="E12" s="48" t="str">
        <f>IFERROR(IF(INDEX('8. Checklist'!$F$6:$F$265,MATCH(7,'8. Checklist'!$J$6:$J$265,0))="","",INDEX('8. Checklist'!$F$6:$F$265,MATCH(7,'8. Checklist'!$J$6:$J$265,0))),"")</f>
        <v/>
      </c>
      <c r="F12" s="67" t="str">
        <f>IFERROR(IF(INDEX('8. Checklist'!$G$6:$G$265,MATCH(7,'8. Checklist'!$J$6:$J$265,0))="","",INDEX('8. Checklist'!$G$6:$G$265,MATCH(7,'8. Checklist'!$J$6:$J$265,0))),"")</f>
        <v/>
      </c>
      <c r="G12" s="48" t="str">
        <f>IFERROR(IF(INDEX('8. Checklist'!$E$6:$E$265,MATCH(7,'8. Checklist'!$J$6:$J$265,0))="","",INDEX('8. Checklist'!$E$6:$E$265,MATCH(7,'8. Checklist'!$J$6:$J$265,0))),"")</f>
        <v>Not Started</v>
      </c>
    </row>
    <row r="13" spans="1:7" x14ac:dyDescent="0.45">
      <c r="A13" s="68">
        <f>IF(COUNT('8. Checklist'!$J$6:$J$265)&lt;8,"",8)</f>
        <v>8</v>
      </c>
      <c r="B13" s="42" t="str">
        <f>IFERROR(IF(INDEX('8. Checklist'!$A$6:$A$265,MATCH(8,'8. Checklist'!$J$6:$J$265,0))="","",INDEX('8. Checklist'!$A$6:$A$265,MATCH(8,'8. Checklist'!$J$6:$J$265,0))),"")</f>
        <v>GA-009</v>
      </c>
      <c r="C13" s="42" t="str">
        <f>IFERROR(IF(INDEX('8. Checklist'!$B$6:$B$265,MATCH(8,'8. Checklist'!$J$6:$J$265,0))="","",INDEX('8. Checklist'!$B$6:$B$265,MATCH(8,'8. Checklist'!$J$6:$J$265,0))),"")</f>
        <v>Governance &amp; Accountability</v>
      </c>
      <c r="D13" s="42" t="str">
        <f>IFERROR(IF(INDEX('8. Checklist'!$C$6:$C$265,MATCH(8,'8. Checklist'!$J$6:$J$265,0))="","",INDEX('8. Checklist'!$C$6:$C$265,MATCH(8,'8. Checklist'!$J$6:$J$265,0))),"")</f>
        <v>Define decision rights: who approves deployment</v>
      </c>
      <c r="E13" s="42" t="str">
        <f>IFERROR(IF(INDEX('8. Checklist'!$F$6:$F$265,MATCH(8,'8. Checklist'!$J$6:$J$265,0))="","",INDEX('8. Checklist'!$F$6:$F$265,MATCH(8,'8. Checklist'!$J$6:$J$265,0))),"")</f>
        <v/>
      </c>
      <c r="F13" s="69" t="str">
        <f>IFERROR(IF(INDEX('8. Checklist'!$G$6:$G$265,MATCH(8,'8. Checklist'!$J$6:$J$265,0))="","",INDEX('8. Checklist'!$G$6:$G$265,MATCH(8,'8. Checklist'!$J$6:$J$265,0))),"")</f>
        <v/>
      </c>
      <c r="G13" s="42" t="str">
        <f>IFERROR(IF(INDEX('8. Checklist'!$E$6:$E$265,MATCH(8,'8. Checklist'!$J$6:$J$265,0))="","",INDEX('8. Checklist'!$E$6:$E$265,MATCH(8,'8. Checklist'!$J$6:$J$265,0))),"")</f>
        <v>Not Started</v>
      </c>
    </row>
    <row r="14" spans="1:7" x14ac:dyDescent="0.45">
      <c r="A14" s="66">
        <f>IF(COUNT('8. Checklist'!$J$6:$J$265)&lt;9,"",9)</f>
        <v>9</v>
      </c>
      <c r="B14" s="48" t="str">
        <f>IFERROR(IF(INDEX('8. Checklist'!$A$6:$A$265,MATCH(9,'8. Checklist'!$J$6:$J$265,0))="","",INDEX('8. Checklist'!$A$6:$A$265,MATCH(9,'8. Checklist'!$J$6:$J$265,0))),"")</f>
        <v>GA-016</v>
      </c>
      <c r="C14" s="48" t="str">
        <f>IFERROR(IF(INDEX('8. Checklist'!$B$6:$B$265,MATCH(9,'8. Checklist'!$J$6:$J$265,0))="","",INDEX('8. Checklist'!$B$6:$B$265,MATCH(9,'8. Checklist'!$J$6:$J$265,0))),"")</f>
        <v>Governance &amp; Accountability</v>
      </c>
      <c r="D14" s="48" t="str">
        <f>IFERROR(IF(INDEX('8. Checklist'!$C$6:$C$265,MATCH(9,'8. Checklist'!$J$6:$J$265,0))="","",INDEX('8. Checklist'!$C$6:$C$265,MATCH(9,'8. Checklist'!$J$6:$J$265,0))),"")</f>
        <v>Document management commitment to the AIMS</v>
      </c>
      <c r="E14" s="48" t="str">
        <f>IFERROR(IF(INDEX('8. Checklist'!$F$6:$F$265,MATCH(9,'8. Checklist'!$J$6:$J$265,0))="","",INDEX('8. Checklist'!$F$6:$F$265,MATCH(9,'8. Checklist'!$J$6:$J$265,0))),"")</f>
        <v/>
      </c>
      <c r="F14" s="67" t="str">
        <f>IFERROR(IF(INDEX('8. Checklist'!$G$6:$G$265,MATCH(9,'8. Checklist'!$J$6:$J$265,0))="","",INDEX('8. Checklist'!$G$6:$G$265,MATCH(9,'8. Checklist'!$J$6:$J$265,0))),"")</f>
        <v/>
      </c>
      <c r="G14" s="48" t="str">
        <f>IFERROR(IF(INDEX('8. Checklist'!$E$6:$E$265,MATCH(9,'8. Checklist'!$J$6:$J$265,0))="","",INDEX('8. Checklist'!$E$6:$E$265,MATCH(9,'8. Checklist'!$J$6:$J$265,0))),"")</f>
        <v>Not Started</v>
      </c>
    </row>
    <row r="15" spans="1:7" x14ac:dyDescent="0.45">
      <c r="A15" s="68">
        <f>IF(COUNT('8. Checklist'!$J$6:$J$265)&lt;10,"",10)</f>
        <v>10</v>
      </c>
      <c r="B15" s="42" t="str">
        <f>IFERROR(IF(INDEX('8. Checklist'!$A$6:$A$265,MATCH(10,'8. Checklist'!$J$6:$J$265,0))="","",INDEX('8. Checklist'!$A$6:$A$265,MATCH(10,'8. Checklist'!$J$6:$J$265,0))),"")</f>
        <v>RM-001</v>
      </c>
      <c r="C15" s="42" t="str">
        <f>IFERROR(IF(INDEX('8. Checklist'!$B$6:$B$265,MATCH(10,'8. Checklist'!$J$6:$J$265,0))="","",INDEX('8. Checklist'!$B$6:$B$265,MATCH(10,'8. Checklist'!$J$6:$J$265,0))),"")</f>
        <v>Risk Management</v>
      </c>
      <c r="D15" s="42" t="str">
        <f>IFERROR(IF(INDEX('8. Checklist'!$C$6:$C$265,MATCH(10,'8. Checklist'!$J$6:$J$265,0))="","",INDEX('8. Checklist'!$C$6:$C$265,MATCH(10,'8. Checklist'!$J$6:$J$265,0))),"")</f>
        <v>Define an AI risk assessment methodology</v>
      </c>
      <c r="E15" s="42" t="str">
        <f>IFERROR(IF(INDEX('8. Checklist'!$F$6:$F$265,MATCH(10,'8. Checklist'!$J$6:$J$265,0))="","",INDEX('8. Checklist'!$F$6:$F$265,MATCH(10,'8. Checklist'!$J$6:$J$265,0))),"")</f>
        <v/>
      </c>
      <c r="F15" s="69" t="str">
        <f>IFERROR(IF(INDEX('8. Checklist'!$G$6:$G$265,MATCH(10,'8. Checklist'!$J$6:$J$265,0))="","",INDEX('8. Checklist'!$G$6:$G$265,MATCH(10,'8. Checklist'!$J$6:$J$265,0))),"")</f>
        <v/>
      </c>
      <c r="G15" s="42" t="str">
        <f>IFERROR(IF(INDEX('8. Checklist'!$E$6:$E$265,MATCH(10,'8. Checklist'!$J$6:$J$265,0))="","",INDEX('8. Checklist'!$E$6:$E$265,MATCH(10,'8. Checklist'!$J$6:$J$265,0))),"")</f>
        <v>Not Started</v>
      </c>
    </row>
    <row r="16" spans="1:7" x14ac:dyDescent="0.45">
      <c r="A16" s="66">
        <f>IF(COUNT('8. Checklist'!$J$6:$J$265)&lt;11,"",11)</f>
        <v>11</v>
      </c>
      <c r="B16" s="48" t="str">
        <f>IFERROR(IF(INDEX('8. Checklist'!$A$6:$A$265,MATCH(11,'8. Checklist'!$J$6:$J$265,0))="","",INDEX('8. Checklist'!$A$6:$A$265,MATCH(11,'8. Checklist'!$J$6:$J$265,0))),"")</f>
        <v>RM-002</v>
      </c>
      <c r="C16" s="48" t="str">
        <f>IFERROR(IF(INDEX('8. Checklist'!$B$6:$B$265,MATCH(11,'8. Checklist'!$J$6:$J$265,0))="","",INDEX('8. Checklist'!$B$6:$B$265,MATCH(11,'8. Checklist'!$J$6:$J$265,0))),"")</f>
        <v>Risk Management</v>
      </c>
      <c r="D16" s="48" t="str">
        <f>IFERROR(IF(INDEX('8. Checklist'!$C$6:$C$265,MATCH(11,'8. Checklist'!$J$6:$J$265,0))="","",INDEX('8. Checklist'!$C$6:$C$265,MATCH(11,'8. Checklist'!$J$6:$J$265,0))),"")</f>
        <v>Maintain an AI risk register</v>
      </c>
      <c r="E16" s="48" t="str">
        <f>IFERROR(IF(INDEX('8. Checklist'!$F$6:$F$265,MATCH(11,'8. Checklist'!$J$6:$J$265,0))="","",INDEX('8. Checklist'!$F$6:$F$265,MATCH(11,'8. Checklist'!$J$6:$J$265,0))),"")</f>
        <v/>
      </c>
      <c r="F16" s="67" t="str">
        <f>IFERROR(IF(INDEX('8. Checklist'!$G$6:$G$265,MATCH(11,'8. Checklist'!$J$6:$J$265,0))="","",INDEX('8. Checklist'!$G$6:$G$265,MATCH(11,'8. Checklist'!$J$6:$J$265,0))),"")</f>
        <v/>
      </c>
      <c r="G16" s="48" t="str">
        <f>IFERROR(IF(INDEX('8. Checklist'!$E$6:$E$265,MATCH(11,'8. Checklist'!$J$6:$J$265,0))="","",INDEX('8. Checklist'!$E$6:$E$265,MATCH(11,'8. Checklist'!$J$6:$J$265,0))),"")</f>
        <v>Not Started</v>
      </c>
    </row>
    <row r="17" spans="1:7" x14ac:dyDescent="0.45">
      <c r="A17" s="68">
        <f>IF(COUNT('8. Checklist'!$J$6:$J$265)&lt;12,"",12)</f>
        <v>12</v>
      </c>
      <c r="B17" s="42" t="str">
        <f>IFERROR(IF(INDEX('8. Checklist'!$A$6:$A$265,MATCH(12,'8. Checklist'!$J$6:$J$265,0))="","",INDEX('8. Checklist'!$A$6:$A$265,MATCH(12,'8. Checklist'!$J$6:$J$265,0))),"")</f>
        <v>RM-003</v>
      </c>
      <c r="C17" s="42" t="str">
        <f>IFERROR(IF(INDEX('8. Checklist'!$B$6:$B$265,MATCH(12,'8. Checklist'!$J$6:$J$265,0))="","",INDEX('8. Checklist'!$B$6:$B$265,MATCH(12,'8. Checklist'!$J$6:$J$265,0))),"")</f>
        <v>Risk Management</v>
      </c>
      <c r="D17" s="42" t="str">
        <f>IFERROR(IF(INDEX('8. Checklist'!$C$6:$C$265,MATCH(12,'8. Checklist'!$J$6:$J$265,0))="","",INDEX('8. Checklist'!$C$6:$C$265,MATCH(12,'8. Checklist'!$J$6:$J$265,0))),"")</f>
        <v>Assess risk per AI system before deployment</v>
      </c>
      <c r="E17" s="42" t="str">
        <f>IFERROR(IF(INDEX('8. Checklist'!$F$6:$F$265,MATCH(12,'8. Checklist'!$J$6:$J$265,0))="","",INDEX('8. Checklist'!$F$6:$F$265,MATCH(12,'8. Checklist'!$J$6:$J$265,0))),"")</f>
        <v/>
      </c>
      <c r="F17" s="69" t="str">
        <f>IFERROR(IF(INDEX('8. Checklist'!$G$6:$G$265,MATCH(12,'8. Checklist'!$J$6:$J$265,0))="","",INDEX('8. Checklist'!$G$6:$G$265,MATCH(12,'8. Checklist'!$J$6:$J$265,0))),"")</f>
        <v/>
      </c>
      <c r="G17" s="42" t="str">
        <f>IFERROR(IF(INDEX('8. Checklist'!$E$6:$E$265,MATCH(12,'8. Checklist'!$J$6:$J$265,0))="","",INDEX('8. Checklist'!$E$6:$E$265,MATCH(12,'8. Checklist'!$J$6:$J$265,0))),"")</f>
        <v>Not Started</v>
      </c>
    </row>
    <row r="18" spans="1:7" x14ac:dyDescent="0.45">
      <c r="A18" s="66">
        <f>IF(COUNT('8. Checklist'!$J$6:$J$265)&lt;13,"",13)</f>
        <v>13</v>
      </c>
      <c r="B18" s="48" t="str">
        <f>IFERROR(IF(INDEX('8. Checklist'!$A$6:$A$265,MATCH(13,'8. Checklist'!$J$6:$J$265,0))="","",INDEX('8. Checklist'!$A$6:$A$265,MATCH(13,'8. Checklist'!$J$6:$J$265,0))),"")</f>
        <v>RM-004</v>
      </c>
      <c r="C18" s="48" t="str">
        <f>IFERROR(IF(INDEX('8. Checklist'!$B$6:$B$265,MATCH(13,'8. Checklist'!$J$6:$J$265,0))="","",INDEX('8. Checklist'!$B$6:$B$265,MATCH(13,'8. Checklist'!$J$6:$J$265,0))),"")</f>
        <v>Risk Management</v>
      </c>
      <c r="D18" s="48" t="str">
        <f>IFERROR(IF(INDEX('8. Checklist'!$C$6:$C$265,MATCH(13,'8. Checklist'!$J$6:$J$265,0))="","",INDEX('8. Checklist'!$C$6:$C$265,MATCH(13,'8. Checklist'!$J$6:$J$265,0))),"")</f>
        <v>Conduct AI system impact assessments</v>
      </c>
      <c r="E18" s="48" t="str">
        <f>IFERROR(IF(INDEX('8. Checklist'!$F$6:$F$265,MATCH(13,'8. Checklist'!$J$6:$J$265,0))="","",INDEX('8. Checklist'!$F$6:$F$265,MATCH(13,'8. Checklist'!$J$6:$J$265,0))),"")</f>
        <v/>
      </c>
      <c r="F18" s="67" t="str">
        <f>IFERROR(IF(INDEX('8. Checklist'!$G$6:$G$265,MATCH(13,'8. Checklist'!$J$6:$J$265,0))="","",INDEX('8. Checklist'!$G$6:$G$265,MATCH(13,'8. Checklist'!$J$6:$J$265,0))),"")</f>
        <v/>
      </c>
      <c r="G18" s="48" t="str">
        <f>IFERROR(IF(INDEX('8. Checklist'!$E$6:$E$265,MATCH(13,'8. Checklist'!$J$6:$J$265,0))="","",INDEX('8. Checklist'!$E$6:$E$265,MATCH(13,'8. Checklist'!$J$6:$J$265,0))),"")</f>
        <v>Not Started</v>
      </c>
    </row>
    <row r="19" spans="1:7" x14ac:dyDescent="0.45">
      <c r="A19" s="68">
        <f>IF(COUNT('8. Checklist'!$J$6:$J$265)&lt;14,"",14)</f>
        <v>14</v>
      </c>
      <c r="B19" s="42" t="str">
        <f>IFERROR(IF(INDEX('8. Checklist'!$A$6:$A$265,MATCH(14,'8. Checklist'!$J$6:$J$265,0))="","",INDEX('8. Checklist'!$A$6:$A$265,MATCH(14,'8. Checklist'!$J$6:$J$265,0))),"")</f>
        <v>RM-005</v>
      </c>
      <c r="C19" s="42" t="str">
        <f>IFERROR(IF(INDEX('8. Checklist'!$B$6:$B$265,MATCH(14,'8. Checklist'!$J$6:$J$265,0))="","",INDEX('8. Checklist'!$B$6:$B$265,MATCH(14,'8. Checklist'!$J$6:$J$265,0))),"")</f>
        <v>Risk Management</v>
      </c>
      <c r="D19" s="42" t="str">
        <f>IFERROR(IF(INDEX('8. Checklist'!$C$6:$C$265,MATCH(14,'8. Checklist'!$J$6:$J$265,0))="","",INDEX('8. Checklist'!$C$6:$C$265,MATCH(14,'8. Checklist'!$J$6:$J$265,0))),"")</f>
        <v>Conduct fundamental-rights impact assessment where applicable</v>
      </c>
      <c r="E19" s="42" t="str">
        <f>IFERROR(IF(INDEX('8. Checklist'!$F$6:$F$265,MATCH(14,'8. Checklist'!$J$6:$J$265,0))="","",INDEX('8. Checklist'!$F$6:$F$265,MATCH(14,'8. Checklist'!$J$6:$J$265,0))),"")</f>
        <v/>
      </c>
      <c r="F19" s="69" t="str">
        <f>IFERROR(IF(INDEX('8. Checklist'!$G$6:$G$265,MATCH(14,'8. Checklist'!$J$6:$J$265,0))="","",INDEX('8. Checklist'!$G$6:$G$265,MATCH(14,'8. Checklist'!$J$6:$J$265,0))),"")</f>
        <v/>
      </c>
      <c r="G19" s="42" t="str">
        <f>IFERROR(IF(INDEX('8. Checklist'!$E$6:$E$265,MATCH(14,'8. Checklist'!$J$6:$J$265,0))="","",INDEX('8. Checklist'!$E$6:$E$265,MATCH(14,'8. Checklist'!$J$6:$J$265,0))),"")</f>
        <v>Not Started</v>
      </c>
    </row>
    <row r="20" spans="1:7" x14ac:dyDescent="0.45">
      <c r="A20" s="66">
        <f>IF(COUNT('8. Checklist'!$J$6:$J$265)&lt;15,"",15)</f>
        <v>15</v>
      </c>
      <c r="B20" s="48" t="str">
        <f>IFERROR(IF(INDEX('8. Checklist'!$A$6:$A$265,MATCH(15,'8. Checklist'!$J$6:$J$265,0))="","",INDEX('8. Checklist'!$A$6:$A$265,MATCH(15,'8. Checklist'!$J$6:$J$265,0))),"")</f>
        <v>RM-006</v>
      </c>
      <c r="C20" s="48" t="str">
        <f>IFERROR(IF(INDEX('8. Checklist'!$B$6:$B$265,MATCH(15,'8. Checklist'!$J$6:$J$265,0))="","",INDEX('8. Checklist'!$B$6:$B$265,MATCH(15,'8. Checklist'!$J$6:$J$265,0))),"")</f>
        <v>Risk Management</v>
      </c>
      <c r="D20" s="48" t="str">
        <f>IFERROR(IF(INDEX('8. Checklist'!$C$6:$C$265,MATCH(15,'8. Checklist'!$J$6:$J$265,0))="","",INDEX('8. Checklist'!$C$6:$C$265,MATCH(15,'8. Checklist'!$J$6:$J$265,0))),"")</f>
        <v>Classify each system by EU AI Act risk tier</v>
      </c>
      <c r="E20" s="48" t="str">
        <f>IFERROR(IF(INDEX('8. Checklist'!$F$6:$F$265,MATCH(15,'8. Checklist'!$J$6:$J$265,0))="","",INDEX('8. Checklist'!$F$6:$F$265,MATCH(15,'8. Checklist'!$J$6:$J$265,0))),"")</f>
        <v/>
      </c>
      <c r="F20" s="67" t="str">
        <f>IFERROR(IF(INDEX('8. Checklist'!$G$6:$G$265,MATCH(15,'8. Checklist'!$J$6:$J$265,0))="","",INDEX('8. Checklist'!$G$6:$G$265,MATCH(15,'8. Checklist'!$J$6:$J$265,0))),"")</f>
        <v/>
      </c>
      <c r="G20" s="48" t="str">
        <f>IFERROR(IF(INDEX('8. Checklist'!$E$6:$E$265,MATCH(15,'8. Checklist'!$J$6:$J$265,0))="","",INDEX('8. Checklist'!$E$6:$E$265,MATCH(15,'8. Checklist'!$J$6:$J$265,0))),"")</f>
        <v>Not Started</v>
      </c>
    </row>
    <row r="21" spans="1:7" x14ac:dyDescent="0.45">
      <c r="A21" s="68">
        <f>IF(COUNT('8. Checklist'!$J$6:$J$265)&lt;16,"",16)</f>
        <v>16</v>
      </c>
      <c r="B21" s="42" t="str">
        <f>IFERROR(IF(INDEX('8. Checklist'!$A$6:$A$265,MATCH(16,'8. Checklist'!$J$6:$J$265,0))="","",INDEX('8. Checklist'!$A$6:$A$265,MATCH(16,'8. Checklist'!$J$6:$J$265,0))),"")</f>
        <v>RM-007</v>
      </c>
      <c r="C21" s="42" t="str">
        <f>IFERROR(IF(INDEX('8. Checklist'!$B$6:$B$265,MATCH(16,'8. Checklist'!$J$6:$J$265,0))="","",INDEX('8. Checklist'!$B$6:$B$265,MATCH(16,'8. Checklist'!$J$6:$J$265,0))),"")</f>
        <v>Risk Management</v>
      </c>
      <c r="D21" s="42" t="str">
        <f>IFERROR(IF(INDEX('8. Checklist'!$C$6:$C$265,MATCH(16,'8. Checklist'!$J$6:$J$265,0))="","",INDEX('8. Checklist'!$C$6:$C$265,MATCH(16,'8. Checklist'!$J$6:$J$265,0))),"")</f>
        <v>Document classification rationale per system</v>
      </c>
      <c r="E21" s="42" t="str">
        <f>IFERROR(IF(INDEX('8. Checklist'!$F$6:$F$265,MATCH(16,'8. Checklist'!$J$6:$J$265,0))="","",INDEX('8. Checklist'!$F$6:$F$265,MATCH(16,'8. Checklist'!$J$6:$J$265,0))),"")</f>
        <v/>
      </c>
      <c r="F21" s="69" t="str">
        <f>IFERROR(IF(INDEX('8. Checklist'!$G$6:$G$265,MATCH(16,'8. Checklist'!$J$6:$J$265,0))="","",INDEX('8. Checklist'!$G$6:$G$265,MATCH(16,'8. Checklist'!$J$6:$J$265,0))),"")</f>
        <v/>
      </c>
      <c r="G21" s="42" t="str">
        <f>IFERROR(IF(INDEX('8. Checklist'!$E$6:$E$265,MATCH(16,'8. Checklist'!$J$6:$J$265,0))="","",INDEX('8. Checklist'!$E$6:$E$265,MATCH(16,'8. Checklist'!$J$6:$J$265,0))),"")</f>
        <v>Not Started</v>
      </c>
    </row>
    <row r="22" spans="1:7" x14ac:dyDescent="0.45">
      <c r="A22" s="66">
        <f>IF(COUNT('8. Checklist'!$J$6:$J$265)&lt;17,"",17)</f>
        <v>17</v>
      </c>
      <c r="B22" s="48" t="str">
        <f>IFERROR(IF(INDEX('8. Checklist'!$A$6:$A$265,MATCH(17,'8. Checklist'!$J$6:$J$265,0))="","",INDEX('8. Checklist'!$A$6:$A$265,MATCH(17,'8. Checklist'!$J$6:$J$265,0))),"")</f>
        <v>RM-010</v>
      </c>
      <c r="C22" s="48" t="str">
        <f>IFERROR(IF(INDEX('8. Checklist'!$B$6:$B$265,MATCH(17,'8. Checklist'!$J$6:$J$265,0))="","",INDEX('8. Checklist'!$B$6:$B$265,MATCH(17,'8. Checklist'!$J$6:$J$265,0))),"")</f>
        <v>Risk Management</v>
      </c>
      <c r="D22" s="48" t="str">
        <f>IFERROR(IF(INDEX('8. Checklist'!$C$6:$C$265,MATCH(17,'8. Checklist'!$J$6:$J$265,0))="","",INDEX('8. Checklist'!$C$6:$C$265,MATCH(17,'8. Checklist'!$J$6:$J$265,0))),"")</f>
        <v>Define triggers for risk reassessment (model change, incident, drift)</v>
      </c>
      <c r="E22" s="48" t="str">
        <f>IFERROR(IF(INDEX('8. Checklist'!$F$6:$F$265,MATCH(17,'8. Checklist'!$J$6:$J$265,0))="","",INDEX('8. Checklist'!$F$6:$F$265,MATCH(17,'8. Checklist'!$J$6:$J$265,0))),"")</f>
        <v/>
      </c>
      <c r="F22" s="67" t="str">
        <f>IFERROR(IF(INDEX('8. Checklist'!$G$6:$G$265,MATCH(17,'8. Checklist'!$J$6:$J$265,0))="","",INDEX('8. Checklist'!$G$6:$G$265,MATCH(17,'8. Checklist'!$J$6:$J$265,0))),"")</f>
        <v/>
      </c>
      <c r="G22" s="48" t="str">
        <f>IFERROR(IF(INDEX('8. Checklist'!$E$6:$E$265,MATCH(17,'8. Checklist'!$J$6:$J$265,0))="","",INDEX('8. Checklist'!$E$6:$E$265,MATCH(17,'8. Checklist'!$J$6:$J$265,0))),"")</f>
        <v>Not Started</v>
      </c>
    </row>
    <row r="23" spans="1:7" x14ac:dyDescent="0.45">
      <c r="A23" s="68">
        <f>IF(COUNT('8. Checklist'!$J$6:$J$265)&lt;18,"",18)</f>
        <v>18</v>
      </c>
      <c r="B23" s="42" t="str">
        <f>IFERROR(IF(INDEX('8. Checklist'!$A$6:$A$265,MATCH(18,'8. Checklist'!$J$6:$J$265,0))="","",INDEX('8. Checklist'!$A$6:$A$265,MATCH(18,'8. Checklist'!$J$6:$J$265,0))),"")</f>
        <v>RM-020</v>
      </c>
      <c r="C23" s="42" t="str">
        <f>IFERROR(IF(INDEX('8. Checklist'!$B$6:$B$265,MATCH(18,'8. Checklist'!$J$6:$J$265,0))="","",INDEX('8. Checklist'!$B$6:$B$265,MATCH(18,'8. Checklist'!$J$6:$J$265,0))),"")</f>
        <v>Risk Management</v>
      </c>
      <c r="D23" s="42" t="str">
        <f>IFERROR(IF(INDEX('8. Checklist'!$C$6:$C$265,MATCH(18,'8. Checklist'!$J$6:$J$265,0))="","",INDEX('8. Checklist'!$C$6:$C$265,MATCH(18,'8. Checklist'!$J$6:$J$265,0))),"")</f>
        <v>Maintain risk assessment records as evidence</v>
      </c>
      <c r="E23" s="42" t="str">
        <f>IFERROR(IF(INDEX('8. Checklist'!$F$6:$F$265,MATCH(18,'8. Checklist'!$J$6:$J$265,0))="","",INDEX('8. Checklist'!$F$6:$F$265,MATCH(18,'8. Checklist'!$J$6:$J$265,0))),"")</f>
        <v/>
      </c>
      <c r="F23" s="69" t="str">
        <f>IFERROR(IF(INDEX('8. Checklist'!$G$6:$G$265,MATCH(18,'8. Checklist'!$J$6:$J$265,0))="","",INDEX('8. Checklist'!$G$6:$G$265,MATCH(18,'8. Checklist'!$J$6:$J$265,0))),"")</f>
        <v/>
      </c>
      <c r="G23" s="42" t="str">
        <f>IFERROR(IF(INDEX('8. Checklist'!$E$6:$E$265,MATCH(18,'8. Checklist'!$J$6:$J$265,0))="","",INDEX('8. Checklist'!$E$6:$E$265,MATCH(18,'8. Checklist'!$J$6:$J$265,0))),"")</f>
        <v>Not Started</v>
      </c>
    </row>
    <row r="24" spans="1:7" x14ac:dyDescent="0.45">
      <c r="A24" s="66">
        <f>IF(COUNT('8. Checklist'!$J$6:$J$265)&lt;19,"",19)</f>
        <v>19</v>
      </c>
      <c r="B24" s="48" t="str">
        <f>IFERROR(IF(INDEX('8. Checklist'!$A$6:$A$265,MATCH(19,'8. Checklist'!$J$6:$J$265,0))="","",INDEX('8. Checklist'!$A$6:$A$265,MATCH(19,'8. Checklist'!$J$6:$J$265,0))),"")</f>
        <v>S-001</v>
      </c>
      <c r="C24" s="48" t="str">
        <f>IFERROR(IF(INDEX('8. Checklist'!$B$6:$B$265,MATCH(19,'8. Checklist'!$J$6:$J$265,0))="","",INDEX('8. Checklist'!$B$6:$B$265,MATCH(19,'8. Checklist'!$J$6:$J$265,0))),"")</f>
        <v>Security (AI-specific)</v>
      </c>
      <c r="D24" s="48" t="str">
        <f>IFERROR(IF(INDEX('8. Checklist'!$C$6:$C$265,MATCH(19,'8. Checklist'!$J$6:$J$265,0))="","",INDEX('8. Checklist'!$C$6:$C$265,MATCH(19,'8. Checklist'!$J$6:$J$265,0))),"")</f>
        <v>Extend the security program to cover AI systems</v>
      </c>
      <c r="E24" s="48" t="str">
        <f>IFERROR(IF(INDEX('8. Checklist'!$F$6:$F$265,MATCH(19,'8. Checklist'!$J$6:$J$265,0))="","",INDEX('8. Checklist'!$F$6:$F$265,MATCH(19,'8. Checklist'!$J$6:$J$265,0))),"")</f>
        <v/>
      </c>
      <c r="F24" s="67" t="str">
        <f>IFERROR(IF(INDEX('8. Checklist'!$G$6:$G$265,MATCH(19,'8. Checklist'!$J$6:$J$265,0))="","",INDEX('8. Checklist'!$G$6:$G$265,MATCH(19,'8. Checklist'!$J$6:$J$265,0))),"")</f>
        <v/>
      </c>
      <c r="G24" s="48" t="str">
        <f>IFERROR(IF(INDEX('8. Checklist'!$E$6:$E$265,MATCH(19,'8. Checklist'!$J$6:$J$265,0))="","",INDEX('8. Checklist'!$E$6:$E$265,MATCH(19,'8. Checklist'!$J$6:$J$265,0))),"")</f>
        <v>Not Started</v>
      </c>
    </row>
    <row r="25" spans="1:7" x14ac:dyDescent="0.45">
      <c r="A25" s="68">
        <f>IF(COUNT('8. Checklist'!$J$6:$J$265)&lt;20,"",20)</f>
        <v>20</v>
      </c>
      <c r="B25" s="42" t="str">
        <f>IFERROR(IF(INDEX('8. Checklist'!$A$6:$A$265,MATCH(20,'8. Checklist'!$J$6:$J$265,0))="","",INDEX('8. Checklist'!$A$6:$A$265,MATCH(20,'8. Checklist'!$J$6:$J$265,0))),"")</f>
        <v>S-009</v>
      </c>
      <c r="C25" s="42" t="str">
        <f>IFERROR(IF(INDEX('8. Checklist'!$B$6:$B$265,MATCH(20,'8. Checklist'!$J$6:$J$265,0))="","",INDEX('8. Checklist'!$B$6:$B$265,MATCH(20,'8. Checklist'!$J$6:$J$265,0))),"")</f>
        <v>Security (AI-specific)</v>
      </c>
      <c r="D25" s="42" t="str">
        <f>IFERROR(IF(INDEX('8. Checklist'!$C$6:$C$265,MATCH(20,'8. Checklist'!$J$6:$J$265,0))="","",INDEX('8. Checklist'!$C$6:$C$265,MATCH(20,'8. Checklist'!$J$6:$J$265,0))),"")</f>
        <v>Assess and pin AI dependencies; maintain an AIBOM</v>
      </c>
      <c r="E25" s="42" t="str">
        <f>IFERROR(IF(INDEX('8. Checklist'!$F$6:$F$265,MATCH(20,'8. Checklist'!$J$6:$J$265,0))="","",INDEX('8. Checklist'!$F$6:$F$265,MATCH(20,'8. Checklist'!$J$6:$J$265,0))),"")</f>
        <v/>
      </c>
      <c r="F25" s="69" t="str">
        <f>IFERROR(IF(INDEX('8. Checklist'!$G$6:$G$265,MATCH(20,'8. Checklist'!$J$6:$J$265,0))="","",INDEX('8. Checklist'!$G$6:$G$265,MATCH(20,'8. Checklist'!$J$6:$J$265,0))),"")</f>
        <v/>
      </c>
      <c r="G25" s="42" t="str">
        <f>IFERROR(IF(INDEX('8. Checklist'!$E$6:$E$265,MATCH(20,'8. Checklist'!$J$6:$J$265,0))="","",INDEX('8. Checklist'!$E$6:$E$265,MATCH(20,'8. Checklist'!$J$6:$J$265,0))),"")</f>
        <v>Not Started</v>
      </c>
    </row>
    <row r="26" spans="1:7" x14ac:dyDescent="0.45">
      <c r="A26" s="66">
        <f>IF(COUNT('8. Checklist'!$J$6:$J$265)&lt;21,"",21)</f>
        <v>21</v>
      </c>
      <c r="B26" s="48" t="str">
        <f>IFERROR(IF(INDEX('8. Checklist'!$A$6:$A$265,MATCH(21,'8. Checklist'!$J$6:$J$265,0))="","",INDEX('8. Checklist'!$A$6:$A$265,MATCH(21,'8. Checklist'!$J$6:$J$265,0))),"")</f>
        <v>S-012</v>
      </c>
      <c r="C26" s="48" t="str">
        <f>IFERROR(IF(INDEX('8. Checklist'!$B$6:$B$265,MATCH(21,'8. Checklist'!$J$6:$J$265,0))="","",INDEX('8. Checklist'!$B$6:$B$265,MATCH(21,'8. Checklist'!$J$6:$J$265,0))),"")</f>
        <v>Security (AI-specific)</v>
      </c>
      <c r="D26" s="48" t="str">
        <f>IFERROR(IF(INDEX('8. Checklist'!$C$6:$C$265,MATCH(21,'8. Checklist'!$J$6:$J$265,0))="","",INDEX('8. Checklist'!$C$6:$C$265,MATCH(21,'8. Checklist'!$J$6:$J$265,0))),"")</f>
        <v>Verify tenant isolation in shared AI systems</v>
      </c>
      <c r="E26" s="48" t="str">
        <f>IFERROR(IF(INDEX('8. Checklist'!$F$6:$F$265,MATCH(21,'8. Checklist'!$J$6:$J$265,0))="","",INDEX('8. Checklist'!$F$6:$F$265,MATCH(21,'8. Checklist'!$J$6:$J$265,0))),"")</f>
        <v/>
      </c>
      <c r="F26" s="67" t="str">
        <f>IFERROR(IF(INDEX('8. Checklist'!$G$6:$G$265,MATCH(21,'8. Checklist'!$J$6:$J$265,0))="","",INDEX('8. Checklist'!$G$6:$G$265,MATCH(21,'8. Checklist'!$J$6:$J$265,0))),"")</f>
        <v/>
      </c>
      <c r="G26" s="48" t="str">
        <f>IFERROR(IF(INDEX('8. Checklist'!$E$6:$E$265,MATCH(21,'8. Checklist'!$J$6:$J$265,0))="","",INDEX('8. Checklist'!$E$6:$E$265,MATCH(21,'8. Checklist'!$J$6:$J$265,0))),"")</f>
        <v>Not Started</v>
      </c>
    </row>
    <row r="27" spans="1:7" x14ac:dyDescent="0.45">
      <c r="A27" s="68">
        <f>IF(COUNT('8. Checklist'!$J$6:$J$265)&lt;22,"",22)</f>
        <v>22</v>
      </c>
      <c r="B27" s="42" t="str">
        <f>IFERROR(IF(INDEX('8. Checklist'!$A$6:$A$265,MATCH(22,'8. Checklist'!$J$6:$J$265,0))="","",INDEX('8. Checklist'!$A$6:$A$265,MATCH(22,'8. Checklist'!$J$6:$J$265,0))),"")</f>
        <v>S-013</v>
      </c>
      <c r="C27" s="42" t="str">
        <f>IFERROR(IF(INDEX('8. Checklist'!$B$6:$B$265,MATCH(22,'8. Checklist'!$J$6:$J$265,0))="","",INDEX('8. Checklist'!$B$6:$B$265,MATCH(22,'8. Checklist'!$J$6:$J$265,0))),"")</f>
        <v>Security (AI-specific)</v>
      </c>
      <c r="D27" s="42" t="str">
        <f>IFERROR(IF(INDEX('8. Checklist'!$C$6:$C$265,MATCH(22,'8. Checklist'!$J$6:$J$265,0))="","",INDEX('8. Checklist'!$C$6:$C$265,MATCH(22,'8. Checklist'!$J$6:$J$265,0))),"")</f>
        <v>Enforce per-agent identity for agentic systems</v>
      </c>
      <c r="E27" s="42" t="str">
        <f>IFERROR(IF(INDEX('8. Checklist'!$F$6:$F$265,MATCH(22,'8. Checklist'!$J$6:$J$265,0))="","",INDEX('8. Checklist'!$F$6:$F$265,MATCH(22,'8. Checklist'!$J$6:$J$265,0))),"")</f>
        <v/>
      </c>
      <c r="F27" s="69" t="str">
        <f>IFERROR(IF(INDEX('8. Checklist'!$G$6:$G$265,MATCH(22,'8. Checklist'!$J$6:$J$265,0))="","",INDEX('8. Checklist'!$G$6:$G$265,MATCH(22,'8. Checklist'!$J$6:$J$265,0))),"")</f>
        <v/>
      </c>
      <c r="G27" s="42" t="str">
        <f>IFERROR(IF(INDEX('8. Checklist'!$E$6:$E$265,MATCH(22,'8. Checklist'!$J$6:$J$265,0))="","",INDEX('8. Checklist'!$E$6:$E$265,MATCH(22,'8. Checklist'!$J$6:$J$265,0))),"")</f>
        <v>Not Started</v>
      </c>
    </row>
    <row r="28" spans="1:7" x14ac:dyDescent="0.45">
      <c r="A28" s="66">
        <f>IF(COUNT('8. Checklist'!$J$6:$J$265)&lt;23,"",23)</f>
        <v>23</v>
      </c>
      <c r="B28" s="48" t="str">
        <f>IFERROR(IF(INDEX('8. Checklist'!$A$6:$A$265,MATCH(23,'8. Checklist'!$J$6:$J$265,0))="","",INDEX('8. Checklist'!$A$6:$A$265,MATCH(23,'8. Checklist'!$J$6:$J$265,0))),"")</f>
        <v>S-014</v>
      </c>
      <c r="C28" s="48" t="str">
        <f>IFERROR(IF(INDEX('8. Checklist'!$B$6:$B$265,MATCH(23,'8. Checklist'!$J$6:$J$265,0))="","",INDEX('8. Checklist'!$B$6:$B$265,MATCH(23,'8. Checklist'!$J$6:$J$265,0))),"")</f>
        <v>Security (AI-specific)</v>
      </c>
      <c r="D28" s="48" t="str">
        <f>IFERROR(IF(INDEX('8. Checklist'!$C$6:$C$265,MATCH(23,'8. Checklist'!$J$6:$J$265,0))="","",INDEX('8. Checklist'!$C$6:$C$265,MATCH(23,'8. Checklist'!$J$6:$J$265,0))),"")</f>
        <v>Enforce least-privilege tool scoping for agents</v>
      </c>
      <c r="E28" s="48" t="str">
        <f>IFERROR(IF(INDEX('8. Checklist'!$F$6:$F$265,MATCH(23,'8. Checklist'!$J$6:$J$265,0))="","",INDEX('8. Checklist'!$F$6:$F$265,MATCH(23,'8. Checklist'!$J$6:$J$265,0))),"")</f>
        <v/>
      </c>
      <c r="F28" s="67" t="str">
        <f>IFERROR(IF(INDEX('8. Checklist'!$G$6:$G$265,MATCH(23,'8. Checklist'!$J$6:$J$265,0))="","",INDEX('8. Checklist'!$G$6:$G$265,MATCH(23,'8. Checklist'!$J$6:$J$265,0))),"")</f>
        <v/>
      </c>
      <c r="G28" s="48" t="str">
        <f>IFERROR(IF(INDEX('8. Checklist'!$E$6:$E$265,MATCH(23,'8. Checklist'!$J$6:$J$265,0))="","",INDEX('8. Checklist'!$E$6:$E$265,MATCH(23,'8. Checklist'!$J$6:$J$265,0))),"")</f>
        <v>Not Started</v>
      </c>
    </row>
    <row r="29" spans="1:7" x14ac:dyDescent="0.45">
      <c r="A29" s="68">
        <f>IF(COUNT('8. Checklist'!$J$6:$J$265)&lt;24,"",24)</f>
        <v>24</v>
      </c>
      <c r="B29" s="42" t="str">
        <f>IFERROR(IF(INDEX('8. Checklist'!$A$6:$A$265,MATCH(24,'8. Checklist'!$J$6:$J$265,0))="","",INDEX('8. Checklist'!$A$6:$A$265,MATCH(24,'8. Checklist'!$J$6:$J$265,0))),"")</f>
        <v>S-015</v>
      </c>
      <c r="C29" s="42" t="str">
        <f>IFERROR(IF(INDEX('8. Checklist'!$B$6:$B$265,MATCH(24,'8. Checklist'!$J$6:$J$265,0))="","",INDEX('8. Checklist'!$B$6:$B$265,MATCH(24,'8. Checklist'!$J$6:$J$265,0))),"")</f>
        <v>Security (AI-specific)</v>
      </c>
      <c r="D29" s="42" t="str">
        <f>IFERROR(IF(INDEX('8. Checklist'!$C$6:$C$265,MATCH(24,'8. Checklist'!$J$6:$J$265,0))="","",INDEX('8. Checklist'!$C$6:$C$265,MATCH(24,'8. Checklist'!$J$6:$J$265,0))),"")</f>
        <v>Implement human-approval gates for sensitive agent actions</v>
      </c>
      <c r="E29" s="42" t="str">
        <f>IFERROR(IF(INDEX('8. Checklist'!$F$6:$F$265,MATCH(24,'8. Checklist'!$J$6:$J$265,0))="","",INDEX('8. Checklist'!$F$6:$F$265,MATCH(24,'8. Checklist'!$J$6:$J$265,0))),"")</f>
        <v/>
      </c>
      <c r="F29" s="69" t="str">
        <f>IFERROR(IF(INDEX('8. Checklist'!$G$6:$G$265,MATCH(24,'8. Checklist'!$J$6:$J$265,0))="","",INDEX('8. Checklist'!$G$6:$G$265,MATCH(24,'8. Checklist'!$J$6:$J$265,0))),"")</f>
        <v/>
      </c>
      <c r="G29" s="42" t="str">
        <f>IFERROR(IF(INDEX('8. Checklist'!$E$6:$E$265,MATCH(24,'8. Checklist'!$J$6:$J$265,0))="","",INDEX('8. Checklist'!$E$6:$E$265,MATCH(24,'8. Checklist'!$J$6:$J$265,0))),"")</f>
        <v>Not Started</v>
      </c>
    </row>
    <row r="30" spans="1:7" x14ac:dyDescent="0.45">
      <c r="A30" s="66">
        <f>IF(COUNT('8. Checklist'!$J$6:$J$265)&lt;25,"",25)</f>
        <v>25</v>
      </c>
      <c r="B30" s="48" t="str">
        <f>IFERROR(IF(INDEX('8. Checklist'!$A$6:$A$265,MATCH(25,'8. Checklist'!$J$6:$J$265,0))="","",INDEX('8. Checklist'!$A$6:$A$265,MATCH(25,'8. Checklist'!$J$6:$J$265,0))),"")</f>
        <v>S-016</v>
      </c>
      <c r="C30" s="48" t="str">
        <f>IFERROR(IF(INDEX('8. Checklist'!$B$6:$B$265,MATCH(25,'8. Checklist'!$J$6:$J$265,0))="","",INDEX('8. Checklist'!$B$6:$B$265,MATCH(25,'8. Checklist'!$J$6:$J$265,0))),"")</f>
        <v>Security (AI-specific)</v>
      </c>
      <c r="D30" s="48" t="str">
        <f>IFERROR(IF(INDEX('8. Checklist'!$C$6:$C$265,MATCH(25,'8. Checklist'!$J$6:$J$265,0))="","",INDEX('8. Checklist'!$C$6:$C$265,MATCH(25,'8. Checklist'!$J$6:$J$265,0))),"")</f>
        <v>Implement and test kill-switch / containment for agents</v>
      </c>
      <c r="E30" s="48" t="str">
        <f>IFERROR(IF(INDEX('8. Checklist'!$F$6:$F$265,MATCH(25,'8. Checklist'!$J$6:$J$265,0))="","",INDEX('8. Checklist'!$F$6:$F$265,MATCH(25,'8. Checklist'!$J$6:$J$265,0))),"")</f>
        <v/>
      </c>
      <c r="F30" s="67" t="str">
        <f>IFERROR(IF(INDEX('8. Checklist'!$G$6:$G$265,MATCH(25,'8. Checklist'!$J$6:$J$265,0))="","",INDEX('8. Checklist'!$G$6:$G$265,MATCH(25,'8. Checklist'!$J$6:$J$265,0))),"")</f>
        <v/>
      </c>
      <c r="G30" s="48" t="str">
        <f>IFERROR(IF(INDEX('8. Checklist'!$E$6:$E$265,MATCH(25,'8. Checklist'!$J$6:$J$265,0))="","",INDEX('8. Checklist'!$E$6:$E$265,MATCH(25,'8. Checklist'!$J$6:$J$265,0))),"")</f>
        <v>Not Started</v>
      </c>
    </row>
    <row r="31" spans="1:7" x14ac:dyDescent="0.45">
      <c r="A31" s="68">
        <f>IF(COUNT('8. Checklist'!$J$6:$J$265)&lt;26,"",26)</f>
        <v>26</v>
      </c>
      <c r="B31" s="42" t="str">
        <f>IFERROR(IF(INDEX('8. Checklist'!$A$6:$A$265,MATCH(26,'8. Checklist'!$J$6:$J$265,0))="","",INDEX('8. Checklist'!$A$6:$A$265,MATCH(26,'8. Checklist'!$J$6:$J$265,0))),"")</f>
        <v>S-021</v>
      </c>
      <c r="C31" s="42" t="str">
        <f>IFERROR(IF(INDEX('8. Checklist'!$B$6:$B$265,MATCH(26,'8. Checklist'!$J$6:$J$265,0))="","",INDEX('8. Checklist'!$B$6:$B$265,MATCH(26,'8. Checklist'!$J$6:$J$265,0))),"")</f>
        <v>Security (AI-specific)</v>
      </c>
      <c r="D31" s="42" t="str">
        <f>IFERROR(IF(INDEX('8. Checklist'!$C$6:$C$265,MATCH(26,'8. Checklist'!$J$6:$J$265,0))="","",INDEX('8. Checklist'!$C$6:$C$265,MATCH(26,'8. Checklist'!$J$6:$J$265,0))),"")</f>
        <v>Secure secrets and credentials from model/agent access</v>
      </c>
      <c r="E31" s="42" t="str">
        <f>IFERROR(IF(INDEX('8. Checklist'!$F$6:$F$265,MATCH(26,'8. Checklist'!$J$6:$J$265,0))="","",INDEX('8. Checklist'!$F$6:$F$265,MATCH(26,'8. Checklist'!$J$6:$J$265,0))),"")</f>
        <v/>
      </c>
      <c r="F31" s="69" t="str">
        <f>IFERROR(IF(INDEX('8. Checklist'!$G$6:$G$265,MATCH(26,'8. Checklist'!$J$6:$J$265,0))="","",INDEX('8. Checklist'!$G$6:$G$265,MATCH(26,'8. Checklist'!$J$6:$J$265,0))),"")</f>
        <v/>
      </c>
      <c r="G31" s="42" t="str">
        <f>IFERROR(IF(INDEX('8. Checklist'!$E$6:$E$265,MATCH(26,'8. Checklist'!$J$6:$J$265,0))="","",INDEX('8. Checklist'!$E$6:$E$265,MATCH(26,'8. Checklist'!$J$6:$J$265,0))),"")</f>
        <v>Not Started</v>
      </c>
    </row>
    <row r="32" spans="1:7" x14ac:dyDescent="0.45">
      <c r="A32" s="66">
        <f>IF(COUNT('8. Checklist'!$J$6:$J$265)&lt;27,"",27)</f>
        <v>27</v>
      </c>
      <c r="B32" s="48" t="str">
        <f>IFERROR(IF(INDEX('8. Checklist'!$A$6:$A$265,MATCH(27,'8. Checklist'!$J$6:$J$265,0))="","",INDEX('8. Checklist'!$A$6:$A$265,MATCH(27,'8. Checklist'!$J$6:$J$265,0))),"")</f>
        <v>S-023</v>
      </c>
      <c r="C32" s="48" t="str">
        <f>IFERROR(IF(INDEX('8. Checklist'!$B$6:$B$265,MATCH(27,'8. Checklist'!$J$6:$J$265,0))="","",INDEX('8. Checklist'!$B$6:$B$265,MATCH(27,'8. Checklist'!$J$6:$J$265,0))),"")</f>
        <v>Security (AI-specific)</v>
      </c>
      <c r="D32" s="48" t="str">
        <f>IFERROR(IF(INDEX('8. Checklist'!$C$6:$C$265,MATCH(27,'8. Checklist'!$J$6:$J$265,0))="","",INDEX('8. Checklist'!$C$6:$C$265,MATCH(27,'8. Checklist'!$J$6:$J$265,0))),"")</f>
        <v>Define AI-specific security incident procedures</v>
      </c>
      <c r="E32" s="48" t="str">
        <f>IFERROR(IF(INDEX('8. Checklist'!$F$6:$F$265,MATCH(27,'8. Checklist'!$J$6:$J$265,0))="","",INDEX('8. Checklist'!$F$6:$F$265,MATCH(27,'8. Checklist'!$J$6:$J$265,0))),"")</f>
        <v/>
      </c>
      <c r="F32" s="67" t="str">
        <f>IFERROR(IF(INDEX('8. Checklist'!$G$6:$G$265,MATCH(27,'8. Checklist'!$J$6:$J$265,0))="","",INDEX('8. Checklist'!$G$6:$G$265,MATCH(27,'8. Checklist'!$J$6:$J$265,0))),"")</f>
        <v/>
      </c>
      <c r="G32" s="48" t="str">
        <f>IFERROR(IF(INDEX('8. Checklist'!$E$6:$E$265,MATCH(27,'8. Checklist'!$J$6:$J$265,0))="","",INDEX('8. Checklist'!$E$6:$E$265,MATCH(27,'8. Checklist'!$J$6:$J$265,0))),"")</f>
        <v>Not Started</v>
      </c>
    </row>
    <row r="33" spans="1:7" x14ac:dyDescent="0.45">
      <c r="A33" s="68">
        <f>IF(COUNT('8. Checklist'!$J$6:$J$265)&lt;28,"",28)</f>
        <v>28</v>
      </c>
      <c r="B33" s="42" t="str">
        <f>IFERROR(IF(INDEX('8. Checklist'!$A$6:$A$265,MATCH(28,'8. Checklist'!$J$6:$J$265,0))="","",INDEX('8. Checklist'!$A$6:$A$265,MATCH(28,'8. Checklist'!$J$6:$J$265,0))),"")</f>
        <v>DG-001</v>
      </c>
      <c r="C33" s="42" t="str">
        <f>IFERROR(IF(INDEX('8. Checklist'!$B$6:$B$265,MATCH(28,'8. Checklist'!$J$6:$J$265,0))="","",INDEX('8. Checklist'!$B$6:$B$265,MATCH(28,'8. Checklist'!$J$6:$J$265,0))),"")</f>
        <v>Data Governance</v>
      </c>
      <c r="D33" s="42" t="str">
        <f>IFERROR(IF(INDEX('8. Checklist'!$C$6:$C$265,MATCH(28,'8. Checklist'!$J$6:$J$265,0))="","",INDEX('8. Checklist'!$C$6:$C$265,MATCH(28,'8. Checklist'!$J$6:$J$265,0))),"")</f>
        <v>Establish data governance for AI training and operation</v>
      </c>
      <c r="E33" s="42" t="str">
        <f>IFERROR(IF(INDEX('8. Checklist'!$F$6:$F$265,MATCH(28,'8. Checklist'!$J$6:$J$265,0))="","",INDEX('8. Checklist'!$F$6:$F$265,MATCH(28,'8. Checklist'!$J$6:$J$265,0))),"")</f>
        <v/>
      </c>
      <c r="F33" s="69" t="str">
        <f>IFERROR(IF(INDEX('8. Checklist'!$G$6:$G$265,MATCH(28,'8. Checklist'!$J$6:$J$265,0))="","",INDEX('8. Checklist'!$G$6:$G$265,MATCH(28,'8. Checklist'!$J$6:$J$265,0))),"")</f>
        <v/>
      </c>
      <c r="G33" s="42" t="str">
        <f>IFERROR(IF(INDEX('8. Checklist'!$E$6:$E$265,MATCH(28,'8. Checklist'!$J$6:$J$265,0))="","",INDEX('8. Checklist'!$E$6:$E$265,MATCH(28,'8. Checklist'!$J$6:$J$265,0))),"")</f>
        <v>Not Started</v>
      </c>
    </row>
    <row r="34" spans="1:7" x14ac:dyDescent="0.45">
      <c r="A34" s="66">
        <f>IF(COUNT('8. Checklist'!$J$6:$J$265)&lt;29,"",29)</f>
        <v>29</v>
      </c>
      <c r="B34" s="48" t="str">
        <f>IFERROR(IF(INDEX('8. Checklist'!$A$6:$A$265,MATCH(29,'8. Checklist'!$J$6:$J$265,0))="","",INDEX('8. Checklist'!$A$6:$A$265,MATCH(29,'8. Checklist'!$J$6:$J$265,0))),"")</f>
        <v>DG-002</v>
      </c>
      <c r="C34" s="48" t="str">
        <f>IFERROR(IF(INDEX('8. Checklist'!$B$6:$B$265,MATCH(29,'8. Checklist'!$J$6:$J$265,0))="","",INDEX('8. Checklist'!$B$6:$B$265,MATCH(29,'8. Checklist'!$J$6:$J$265,0))),"")</f>
        <v>Data Governance</v>
      </c>
      <c r="D34" s="48" t="str">
        <f>IFERROR(IF(INDEX('8. Checklist'!$C$6:$C$265,MATCH(29,'8. Checklist'!$J$6:$J$265,0))="","",INDEX('8. Checklist'!$C$6:$C$265,MATCH(29,'8. Checklist'!$J$6:$J$265,0))),"")</f>
        <v>Document data provenance and lineage</v>
      </c>
      <c r="E34" s="48" t="str">
        <f>IFERROR(IF(INDEX('8. Checklist'!$F$6:$F$265,MATCH(29,'8. Checklist'!$J$6:$J$265,0))="","",INDEX('8. Checklist'!$F$6:$F$265,MATCH(29,'8. Checklist'!$J$6:$J$265,0))),"")</f>
        <v/>
      </c>
      <c r="F34" s="67" t="str">
        <f>IFERROR(IF(INDEX('8. Checklist'!$G$6:$G$265,MATCH(29,'8. Checklist'!$J$6:$J$265,0))="","",INDEX('8. Checklist'!$G$6:$G$265,MATCH(29,'8. Checklist'!$J$6:$J$265,0))),"")</f>
        <v/>
      </c>
      <c r="G34" s="48" t="str">
        <f>IFERROR(IF(INDEX('8. Checklist'!$E$6:$E$265,MATCH(29,'8. Checklist'!$J$6:$J$265,0))="","",INDEX('8. Checklist'!$E$6:$E$265,MATCH(29,'8. Checklist'!$J$6:$J$265,0))),"")</f>
        <v>Not Started</v>
      </c>
    </row>
    <row r="35" spans="1:7" x14ac:dyDescent="0.45">
      <c r="A35" s="68">
        <f>IF(COUNT('8. Checklist'!$J$6:$J$265)&lt;30,"",30)</f>
        <v>30</v>
      </c>
      <c r="B35" s="42" t="str">
        <f>IFERROR(IF(INDEX('8. Checklist'!$A$6:$A$265,MATCH(30,'8. Checklist'!$J$6:$J$265,0))="","",INDEX('8. Checklist'!$A$6:$A$265,MATCH(30,'8. Checklist'!$J$6:$J$265,0))),"")</f>
        <v>DG-003</v>
      </c>
      <c r="C35" s="42" t="str">
        <f>IFERROR(IF(INDEX('8. Checklist'!$B$6:$B$265,MATCH(30,'8. Checklist'!$J$6:$J$265,0))="","",INDEX('8. Checklist'!$B$6:$B$265,MATCH(30,'8. Checklist'!$J$6:$J$265,0))),"")</f>
        <v>Data Governance</v>
      </c>
      <c r="D35" s="42" t="str">
        <f>IFERROR(IF(INDEX('8. Checklist'!$C$6:$C$265,MATCH(30,'8. Checklist'!$J$6:$J$265,0))="","",INDEX('8. Checklist'!$C$6:$C$265,MATCH(30,'8. Checklist'!$J$6:$J$265,0))),"")</f>
        <v>Assess and document data quality</v>
      </c>
      <c r="E35" s="42" t="str">
        <f>IFERROR(IF(INDEX('8. Checklist'!$F$6:$F$265,MATCH(30,'8. Checklist'!$J$6:$J$265,0))="","",INDEX('8. Checklist'!$F$6:$F$265,MATCH(30,'8. Checklist'!$J$6:$J$265,0))),"")</f>
        <v/>
      </c>
      <c r="F35" s="69" t="str">
        <f>IFERROR(IF(INDEX('8. Checklist'!$G$6:$G$265,MATCH(30,'8. Checklist'!$J$6:$J$265,0))="","",INDEX('8. Checklist'!$G$6:$G$265,MATCH(30,'8. Checklist'!$J$6:$J$265,0))),"")</f>
        <v/>
      </c>
      <c r="G35" s="42" t="str">
        <f>IFERROR(IF(INDEX('8. Checklist'!$E$6:$E$265,MATCH(30,'8. Checklist'!$J$6:$J$265,0))="","",INDEX('8. Checklist'!$E$6:$E$265,MATCH(30,'8. Checklist'!$J$6:$J$265,0))),"")</f>
        <v>Not Started</v>
      </c>
    </row>
    <row r="36" spans="1:7" x14ac:dyDescent="0.45">
      <c r="A36" s="66">
        <f>IF(COUNT('8. Checklist'!$J$6:$J$265)&lt;31,"",31)</f>
        <v>31</v>
      </c>
      <c r="B36" s="48" t="str">
        <f>IFERROR(IF(INDEX('8. Checklist'!$A$6:$A$265,MATCH(31,'8. Checklist'!$J$6:$J$265,0))="","",INDEX('8. Checklist'!$A$6:$A$265,MATCH(31,'8. Checklist'!$J$6:$J$265,0))),"")</f>
        <v>DG-004</v>
      </c>
      <c r="C36" s="48" t="str">
        <f>IFERROR(IF(INDEX('8. Checklist'!$B$6:$B$265,MATCH(31,'8. Checklist'!$J$6:$J$265,0))="","",INDEX('8. Checklist'!$B$6:$B$265,MATCH(31,'8. Checklist'!$J$6:$J$265,0))),"")</f>
        <v>Data Governance</v>
      </c>
      <c r="D36" s="48" t="str">
        <f>IFERROR(IF(INDEX('8. Checklist'!$C$6:$C$265,MATCH(31,'8. Checklist'!$J$6:$J$265,0))="","",INDEX('8. Checklist'!$C$6:$C$265,MATCH(31,'8. Checklist'!$J$6:$J$265,0))),"")</f>
        <v>Define data eligibility criteria for AI use</v>
      </c>
      <c r="E36" s="48" t="str">
        <f>IFERROR(IF(INDEX('8. Checklist'!$F$6:$F$265,MATCH(31,'8. Checklist'!$J$6:$J$265,0))="","",INDEX('8. Checklist'!$F$6:$F$265,MATCH(31,'8. Checklist'!$J$6:$J$265,0))),"")</f>
        <v/>
      </c>
      <c r="F36" s="67" t="str">
        <f>IFERROR(IF(INDEX('8. Checklist'!$G$6:$G$265,MATCH(31,'8. Checklist'!$J$6:$J$265,0))="","",INDEX('8. Checklist'!$G$6:$G$265,MATCH(31,'8. Checklist'!$J$6:$J$265,0))),"")</f>
        <v/>
      </c>
      <c r="G36" s="48" t="str">
        <f>IFERROR(IF(INDEX('8. Checklist'!$E$6:$E$265,MATCH(31,'8. Checklist'!$J$6:$J$265,0))="","",INDEX('8. Checklist'!$E$6:$E$265,MATCH(31,'8. Checklist'!$J$6:$J$265,0))),"")</f>
        <v>Not Started</v>
      </c>
    </row>
    <row r="37" spans="1:7" x14ac:dyDescent="0.45">
      <c r="A37" s="68">
        <f>IF(COUNT('8. Checklist'!$J$6:$J$265)&lt;32,"",32)</f>
        <v>32</v>
      </c>
      <c r="B37" s="42" t="str">
        <f>IFERROR(IF(INDEX('8. Checklist'!$A$6:$A$265,MATCH(32,'8. Checklist'!$J$6:$J$265,0))="","",INDEX('8. Checklist'!$A$6:$A$265,MATCH(32,'8. Checklist'!$J$6:$J$265,0))),"")</f>
        <v>DG-006</v>
      </c>
      <c r="C37" s="42" t="str">
        <f>IFERROR(IF(INDEX('8. Checklist'!$B$6:$B$265,MATCH(32,'8. Checklist'!$J$6:$J$265,0))="","",INDEX('8. Checklist'!$B$6:$B$265,MATCH(32,'8. Checklist'!$J$6:$J$265,0))),"")</f>
        <v>Data Governance</v>
      </c>
      <c r="D37" s="42" t="str">
        <f>IFERROR(IF(INDEX('8. Checklist'!$C$6:$C$265,MATCH(32,'8. Checklist'!$J$6:$J$265,0))="","",INDEX('8. Checklist'!$C$6:$C$265,MATCH(32,'8. Checklist'!$J$6:$J$265,0))),"")</f>
        <v>Remove or protect PII in training data</v>
      </c>
      <c r="E37" s="42" t="str">
        <f>IFERROR(IF(INDEX('8. Checklist'!$F$6:$F$265,MATCH(32,'8. Checklist'!$J$6:$J$265,0))="","",INDEX('8. Checklist'!$F$6:$F$265,MATCH(32,'8. Checklist'!$J$6:$J$265,0))),"")</f>
        <v/>
      </c>
      <c r="F37" s="69" t="str">
        <f>IFERROR(IF(INDEX('8. Checklist'!$G$6:$G$265,MATCH(32,'8. Checklist'!$J$6:$J$265,0))="","",INDEX('8. Checklist'!$G$6:$G$265,MATCH(32,'8. Checklist'!$J$6:$J$265,0))),"")</f>
        <v/>
      </c>
      <c r="G37" s="42" t="str">
        <f>IFERROR(IF(INDEX('8. Checklist'!$E$6:$E$265,MATCH(32,'8. Checklist'!$J$6:$J$265,0))="","",INDEX('8. Checklist'!$E$6:$E$265,MATCH(32,'8. Checklist'!$J$6:$J$265,0))),"")</f>
        <v>Not Started</v>
      </c>
    </row>
    <row r="38" spans="1:7" x14ac:dyDescent="0.45">
      <c r="A38" s="66">
        <f>IF(COUNT('8. Checklist'!$J$6:$J$265)&lt;33,"",33)</f>
        <v>33</v>
      </c>
      <c r="B38" s="48" t="str">
        <f>IFERROR(IF(INDEX('8. Checklist'!$A$6:$A$265,MATCH(33,'8. Checklist'!$J$6:$J$265,0))="","",INDEX('8. Checklist'!$A$6:$A$265,MATCH(33,'8. Checklist'!$J$6:$J$265,0))),"")</f>
        <v>DG-010</v>
      </c>
      <c r="C38" s="48" t="str">
        <f>IFERROR(IF(INDEX('8. Checklist'!$B$6:$B$265,MATCH(33,'8. Checklist'!$J$6:$J$265,0))="","",INDEX('8. Checklist'!$B$6:$B$265,MATCH(33,'8. Checklist'!$J$6:$J$265,0))),"")</f>
        <v>Data Governance</v>
      </c>
      <c r="D38" s="48" t="str">
        <f>IFERROR(IF(INDEX('8. Checklist'!$C$6:$C$265,MATCH(33,'8. Checklist'!$J$6:$J$265,0))="","",INDEX('8. Checklist'!$C$6:$C$265,MATCH(33,'8. Checklist'!$J$6:$J$265,0))),"")</f>
        <v>Enforce access controls on AI datasets</v>
      </c>
      <c r="E38" s="48" t="str">
        <f>IFERROR(IF(INDEX('8. Checklist'!$F$6:$F$265,MATCH(33,'8. Checklist'!$J$6:$J$265,0))="","",INDEX('8. Checklist'!$F$6:$F$265,MATCH(33,'8. Checklist'!$J$6:$J$265,0))),"")</f>
        <v/>
      </c>
      <c r="F38" s="67" t="str">
        <f>IFERROR(IF(INDEX('8. Checklist'!$G$6:$G$265,MATCH(33,'8. Checklist'!$J$6:$J$265,0))="","",INDEX('8. Checklist'!$G$6:$G$265,MATCH(33,'8. Checklist'!$J$6:$J$265,0))),"")</f>
        <v/>
      </c>
      <c r="G38" s="48" t="str">
        <f>IFERROR(IF(INDEX('8. Checklist'!$E$6:$E$265,MATCH(33,'8. Checklist'!$J$6:$J$265,0))="","",INDEX('8. Checklist'!$E$6:$E$265,MATCH(33,'8. Checklist'!$J$6:$J$265,0))),"")</f>
        <v>Not Started</v>
      </c>
    </row>
    <row r="39" spans="1:7" x14ac:dyDescent="0.45">
      <c r="A39" s="68">
        <f>IF(COUNT('8. Checklist'!$J$6:$J$265)&lt;34,"",34)</f>
        <v>34</v>
      </c>
      <c r="B39" s="42" t="str">
        <f>IFERROR(IF(INDEX('8. Checklist'!$A$6:$A$265,MATCH(34,'8. Checklist'!$J$6:$J$265,0))="","",INDEX('8. Checklist'!$A$6:$A$265,MATCH(34,'8. Checklist'!$J$6:$J$265,0))),"")</f>
        <v>DG-014</v>
      </c>
      <c r="C39" s="42" t="str">
        <f>IFERROR(IF(INDEX('8. Checklist'!$B$6:$B$265,MATCH(34,'8. Checklist'!$J$6:$J$265,0))="","",INDEX('8. Checklist'!$B$6:$B$265,MATCH(34,'8. Checklist'!$J$6:$J$265,0))),"")</f>
        <v>Data Governance</v>
      </c>
      <c r="D39" s="42" t="str">
        <f>IFERROR(IF(INDEX('8. Checklist'!$C$6:$C$265,MATCH(34,'8. Checklist'!$J$6:$J$265,0))="","",INDEX('8. Checklist'!$C$6:$C$265,MATCH(34,'8. Checklist'!$J$6:$J$265,0))),"")</f>
        <v>Ensure retrieval respects document-level permissions (RAG)</v>
      </c>
      <c r="E39" s="42" t="str">
        <f>IFERROR(IF(INDEX('8. Checklist'!$F$6:$F$265,MATCH(34,'8. Checklist'!$J$6:$J$265,0))="","",INDEX('8. Checklist'!$F$6:$F$265,MATCH(34,'8. Checklist'!$J$6:$J$265,0))),"")</f>
        <v/>
      </c>
      <c r="F39" s="69" t="str">
        <f>IFERROR(IF(INDEX('8. Checklist'!$G$6:$G$265,MATCH(34,'8. Checklist'!$J$6:$J$265,0))="","",INDEX('8. Checklist'!$G$6:$G$265,MATCH(34,'8. Checklist'!$J$6:$J$265,0))),"")</f>
        <v/>
      </c>
      <c r="G39" s="42" t="str">
        <f>IFERROR(IF(INDEX('8. Checklist'!$E$6:$E$265,MATCH(34,'8. Checklist'!$J$6:$J$265,0))="","",INDEX('8. Checklist'!$E$6:$E$265,MATCH(34,'8. Checklist'!$J$6:$J$265,0))),"")</f>
        <v>Not Started</v>
      </c>
    </row>
    <row r="40" spans="1:7" x14ac:dyDescent="0.45">
      <c r="A40" s="66">
        <f>IF(COUNT('8. Checklist'!$J$6:$J$265)&lt;35,"",35)</f>
        <v>35</v>
      </c>
      <c r="B40" s="48" t="str">
        <f>IFERROR(IF(INDEX('8. Checklist'!$A$6:$A$265,MATCH(35,'8. Checklist'!$J$6:$J$265,0))="","",INDEX('8. Checklist'!$A$6:$A$265,MATCH(35,'8. Checklist'!$J$6:$J$265,0))),"")</f>
        <v>DG-016</v>
      </c>
      <c r="C40" s="48" t="str">
        <f>IFERROR(IF(INDEX('8. Checklist'!$B$6:$B$265,MATCH(35,'8. Checklist'!$J$6:$J$265,0))="","",INDEX('8. Checklist'!$B$6:$B$265,MATCH(35,'8. Checklist'!$J$6:$J$265,0))),"")</f>
        <v>Data Governance</v>
      </c>
      <c r="D40" s="48" t="str">
        <f>IFERROR(IF(INDEX('8. Checklist'!$C$6:$C$265,MATCH(35,'8. Checklist'!$J$6:$J$265,0))="","",INDEX('8. Checklist'!$C$6:$C$265,MATCH(35,'8. Checklist'!$J$6:$J$265,0))),"")</f>
        <v>Maintain data governance records as evidence</v>
      </c>
      <c r="E40" s="48" t="str">
        <f>IFERROR(IF(INDEX('8. Checklist'!$F$6:$F$265,MATCH(35,'8. Checklist'!$J$6:$J$265,0))="","",INDEX('8. Checklist'!$F$6:$F$265,MATCH(35,'8. Checklist'!$J$6:$J$265,0))),"")</f>
        <v/>
      </c>
      <c r="F40" s="67" t="str">
        <f>IFERROR(IF(INDEX('8. Checklist'!$G$6:$G$265,MATCH(35,'8. Checklist'!$J$6:$J$265,0))="","",INDEX('8. Checklist'!$G$6:$G$265,MATCH(35,'8. Checklist'!$J$6:$J$265,0))),"")</f>
        <v/>
      </c>
      <c r="G40" s="48" t="str">
        <f>IFERROR(IF(INDEX('8. Checklist'!$E$6:$E$265,MATCH(35,'8. Checklist'!$J$6:$J$265,0))="","",INDEX('8. Checklist'!$E$6:$E$265,MATCH(35,'8. Checklist'!$J$6:$J$265,0))),"")</f>
        <v>Not Started</v>
      </c>
    </row>
    <row r="41" spans="1:7" x14ac:dyDescent="0.45">
      <c r="A41" s="68">
        <f>IF(COUNT('8. Checklist'!$J$6:$J$265)&lt;36,"",36)</f>
        <v>36</v>
      </c>
      <c r="B41" s="42" t="str">
        <f>IFERROR(IF(INDEX('8. Checklist'!$A$6:$A$265,MATCH(36,'8. Checklist'!$J$6:$J$265,0))="","",INDEX('8. Checklist'!$A$6:$A$265,MATCH(36,'8. Checklist'!$J$6:$J$265,0))),"")</f>
        <v>OL-001</v>
      </c>
      <c r="C41" s="42" t="str">
        <f>IFERROR(IF(INDEX('8. Checklist'!$B$6:$B$265,MATCH(36,'8. Checklist'!$J$6:$J$265,0))="","",INDEX('8. Checklist'!$B$6:$B$265,MATCH(36,'8. Checklist'!$J$6:$J$265,0))),"")</f>
        <v>Operations &amp; Lifecycle</v>
      </c>
      <c r="D41" s="42" t="str">
        <f>IFERROR(IF(INDEX('8. Checklist'!$C$6:$C$265,MATCH(36,'8. Checklist'!$J$6:$J$265,0))="","",INDEX('8. Checklist'!$C$6:$C$265,MATCH(36,'8. Checklist'!$J$6:$J$265,0))),"")</f>
        <v>Define the AI system lifecycle with governance gates</v>
      </c>
      <c r="E41" s="42" t="str">
        <f>IFERROR(IF(INDEX('8. Checklist'!$F$6:$F$265,MATCH(36,'8. Checklist'!$J$6:$J$265,0))="","",INDEX('8. Checklist'!$F$6:$F$265,MATCH(36,'8. Checklist'!$J$6:$J$265,0))),"")</f>
        <v/>
      </c>
      <c r="F41" s="69" t="str">
        <f>IFERROR(IF(INDEX('8. Checklist'!$G$6:$G$265,MATCH(36,'8. Checklist'!$J$6:$J$265,0))="","",INDEX('8. Checklist'!$G$6:$G$265,MATCH(36,'8. Checklist'!$J$6:$J$265,0))),"")</f>
        <v/>
      </c>
      <c r="G41" s="42" t="str">
        <f>IFERROR(IF(INDEX('8. Checklist'!$E$6:$E$265,MATCH(36,'8. Checklist'!$J$6:$J$265,0))="","",INDEX('8. Checklist'!$E$6:$E$265,MATCH(36,'8. Checklist'!$J$6:$J$265,0))),"")</f>
        <v>Not Started</v>
      </c>
    </row>
    <row r="42" spans="1:7" x14ac:dyDescent="0.45">
      <c r="A42" s="66">
        <f>IF(COUNT('8. Checklist'!$J$6:$J$265)&lt;37,"",37)</f>
        <v>37</v>
      </c>
      <c r="B42" s="48" t="str">
        <f>IFERROR(IF(INDEX('8. Checklist'!$A$6:$A$265,MATCH(37,'8. Checklist'!$J$6:$J$265,0))="","",INDEX('8. Checklist'!$A$6:$A$265,MATCH(37,'8. Checklist'!$J$6:$J$265,0))),"")</f>
        <v>OL-004</v>
      </c>
      <c r="C42" s="48" t="str">
        <f>IFERROR(IF(INDEX('8. Checklist'!$B$6:$B$265,MATCH(37,'8. Checklist'!$J$6:$J$265,0))="","",INDEX('8. Checklist'!$B$6:$B$265,MATCH(37,'8. Checklist'!$J$6:$J$265,0))),"")</f>
        <v>Operations &amp; Lifecycle</v>
      </c>
      <c r="D42" s="48" t="str">
        <f>IFERROR(IF(INDEX('8. Checklist'!$C$6:$C$265,MATCH(37,'8. Checklist'!$J$6:$J$265,0))="","",INDEX('8. Checklist'!$C$6:$C$265,MATCH(37,'8. Checklist'!$J$6:$J$265,0))),"")</f>
        <v>Define deployment approval process</v>
      </c>
      <c r="E42" s="48" t="str">
        <f>IFERROR(IF(INDEX('8. Checklist'!$F$6:$F$265,MATCH(37,'8. Checklist'!$J$6:$J$265,0))="","",INDEX('8. Checklist'!$F$6:$F$265,MATCH(37,'8. Checklist'!$J$6:$J$265,0))),"")</f>
        <v/>
      </c>
      <c r="F42" s="67" t="str">
        <f>IFERROR(IF(INDEX('8. Checklist'!$G$6:$G$265,MATCH(37,'8. Checklist'!$J$6:$J$265,0))="","",INDEX('8. Checklist'!$G$6:$G$265,MATCH(37,'8. Checklist'!$J$6:$J$265,0))),"")</f>
        <v/>
      </c>
      <c r="G42" s="48" t="str">
        <f>IFERROR(IF(INDEX('8. Checklist'!$E$6:$E$265,MATCH(37,'8. Checklist'!$J$6:$J$265,0))="","",INDEX('8. Checklist'!$E$6:$E$265,MATCH(37,'8. Checklist'!$J$6:$J$265,0))),"")</f>
        <v>Not Started</v>
      </c>
    </row>
    <row r="43" spans="1:7" x14ac:dyDescent="0.45">
      <c r="A43" s="68">
        <f>IF(COUNT('8. Checklist'!$J$6:$J$265)&lt;38,"",38)</f>
        <v>38</v>
      </c>
      <c r="B43" s="42" t="str">
        <f>IFERROR(IF(INDEX('8. Checklist'!$A$6:$A$265,MATCH(38,'8. Checklist'!$J$6:$J$265,0))="","",INDEX('8. Checklist'!$A$6:$A$265,MATCH(38,'8. Checklist'!$J$6:$J$265,0))),"")</f>
        <v>OL-016</v>
      </c>
      <c r="C43" s="42" t="str">
        <f>IFERROR(IF(INDEX('8. Checklist'!$B$6:$B$265,MATCH(38,'8. Checklist'!$J$6:$J$265,0))="","",INDEX('8. Checklist'!$B$6:$B$265,MATCH(38,'8. Checklist'!$J$6:$J$265,0))),"")</f>
        <v>Operations &amp; Lifecycle</v>
      </c>
      <c r="D43" s="42" t="str">
        <f>IFERROR(IF(INDEX('8. Checklist'!$C$6:$C$265,MATCH(38,'8. Checklist'!$J$6:$J$265,0))="","",INDEX('8. Checklist'!$C$6:$C$265,MATCH(38,'8. Checklist'!$J$6:$J$265,0))),"")</f>
        <v>Define release gates tied to governance approval</v>
      </c>
      <c r="E43" s="42" t="str">
        <f>IFERROR(IF(INDEX('8. Checklist'!$F$6:$F$265,MATCH(38,'8. Checklist'!$J$6:$J$265,0))="","",INDEX('8. Checklist'!$F$6:$F$265,MATCH(38,'8. Checklist'!$J$6:$J$265,0))),"")</f>
        <v/>
      </c>
      <c r="F43" s="69" t="str">
        <f>IFERROR(IF(INDEX('8. Checklist'!$G$6:$G$265,MATCH(38,'8. Checklist'!$J$6:$J$265,0))="","",INDEX('8. Checklist'!$G$6:$G$265,MATCH(38,'8. Checklist'!$J$6:$J$265,0))),"")</f>
        <v/>
      </c>
      <c r="G43" s="42" t="str">
        <f>IFERROR(IF(INDEX('8. Checklist'!$E$6:$E$265,MATCH(38,'8. Checklist'!$J$6:$J$265,0))="","",INDEX('8. Checklist'!$E$6:$E$265,MATCH(38,'8. Checklist'!$J$6:$J$265,0))),"")</f>
        <v>Not Started</v>
      </c>
    </row>
    <row r="44" spans="1:7" x14ac:dyDescent="0.45">
      <c r="A44" s="66">
        <f>IF(COUNT('8. Checklist'!$J$6:$J$265)&lt;39,"",39)</f>
        <v>39</v>
      </c>
      <c r="B44" s="48" t="str">
        <f>IFERROR(IF(INDEX('8. Checklist'!$A$6:$A$265,MATCH(39,'8. Checklist'!$J$6:$J$265,0))="","",INDEX('8. Checklist'!$A$6:$A$265,MATCH(39,'8. Checklist'!$J$6:$J$265,0))),"")</f>
        <v>CL-001</v>
      </c>
      <c r="C44" s="48" t="str">
        <f>IFERROR(IF(INDEX('8. Checklist'!$B$6:$B$265,MATCH(39,'8. Checklist'!$J$6:$J$265,0))="","",INDEX('8. Checklist'!$B$6:$B$265,MATCH(39,'8. Checklist'!$J$6:$J$265,0))),"")</f>
        <v>Compliance &amp; Legal</v>
      </c>
      <c r="D44" s="48" t="str">
        <f>IFERROR(IF(INDEX('8. Checklist'!$C$6:$C$265,MATCH(39,'8. Checklist'!$J$6:$J$265,0))="","",INDEX('8. Checklist'!$C$6:$C$265,MATCH(39,'8. Checklist'!$J$6:$J$265,0))),"")</f>
        <v>Determine EU AI Act applicability to the enterprise</v>
      </c>
      <c r="E44" s="48" t="str">
        <f>IFERROR(IF(INDEX('8. Checklist'!$F$6:$F$265,MATCH(39,'8. Checklist'!$J$6:$J$265,0))="","",INDEX('8. Checklist'!$F$6:$F$265,MATCH(39,'8. Checklist'!$J$6:$J$265,0))),"")</f>
        <v/>
      </c>
      <c r="F44" s="67" t="str">
        <f>IFERROR(IF(INDEX('8. Checklist'!$G$6:$G$265,MATCH(39,'8. Checklist'!$J$6:$J$265,0))="","",INDEX('8. Checklist'!$G$6:$G$265,MATCH(39,'8. Checklist'!$J$6:$J$265,0))),"")</f>
        <v/>
      </c>
      <c r="G44" s="48" t="str">
        <f>IFERROR(IF(INDEX('8. Checklist'!$E$6:$E$265,MATCH(39,'8. Checklist'!$J$6:$J$265,0))="","",INDEX('8. Checklist'!$E$6:$E$265,MATCH(39,'8. Checklist'!$J$6:$J$265,0))),"")</f>
        <v>Not Started</v>
      </c>
    </row>
    <row r="45" spans="1:7" x14ac:dyDescent="0.45">
      <c r="A45" s="68">
        <f>IF(COUNT('8. Checklist'!$J$6:$J$265)&lt;40,"",40)</f>
        <v>40</v>
      </c>
      <c r="B45" s="42" t="str">
        <f>IFERROR(IF(INDEX('8. Checklist'!$A$6:$A$265,MATCH(40,'8. Checklist'!$J$6:$J$265,0))="","",INDEX('8. Checklist'!$A$6:$A$265,MATCH(40,'8. Checklist'!$J$6:$J$265,0))),"")</f>
        <v>CL-002</v>
      </c>
      <c r="C45" s="42" t="str">
        <f>IFERROR(IF(INDEX('8. Checklist'!$B$6:$B$265,MATCH(40,'8. Checklist'!$J$6:$J$265,0))="","",INDEX('8. Checklist'!$B$6:$B$265,MATCH(40,'8. Checklist'!$J$6:$J$265,0))),"")</f>
        <v>Compliance &amp; Legal</v>
      </c>
      <c r="D45" s="42" t="str">
        <f>IFERROR(IF(INDEX('8. Checklist'!$C$6:$C$265,MATCH(40,'8. Checklist'!$J$6:$J$265,0))="","",INDEX('8. Checklist'!$C$6:$C$265,MATCH(40,'8. Checklist'!$J$6:$J$265,0))),"")</f>
        <v>Map each system to applicable obligations</v>
      </c>
      <c r="E45" s="42" t="str">
        <f>IFERROR(IF(INDEX('8. Checklist'!$F$6:$F$265,MATCH(40,'8. Checklist'!$J$6:$J$265,0))="","",INDEX('8. Checklist'!$F$6:$F$265,MATCH(40,'8. Checklist'!$J$6:$J$265,0))),"")</f>
        <v/>
      </c>
      <c r="F45" s="69" t="str">
        <f>IFERROR(IF(INDEX('8. Checklist'!$G$6:$G$265,MATCH(40,'8. Checklist'!$J$6:$J$265,0))="","",INDEX('8. Checklist'!$G$6:$G$265,MATCH(40,'8. Checklist'!$J$6:$J$265,0))),"")</f>
        <v/>
      </c>
      <c r="G45" s="42" t="str">
        <f>IFERROR(IF(INDEX('8. Checklist'!$E$6:$E$265,MATCH(40,'8. Checklist'!$J$6:$J$265,0))="","",INDEX('8. Checklist'!$E$6:$E$265,MATCH(40,'8. Checklist'!$J$6:$J$265,0))),"")</f>
        <v>Not Started</v>
      </c>
    </row>
    <row r="46" spans="1:7" x14ac:dyDescent="0.45">
      <c r="A46" s="66">
        <f>IF(COUNT('8. Checklist'!$J$6:$J$265)&lt;41,"",41)</f>
        <v>41</v>
      </c>
      <c r="B46" s="48" t="str">
        <f>IFERROR(IF(INDEX('8. Checklist'!$A$6:$A$265,MATCH(41,'8. Checklist'!$J$6:$J$265,0))="","",INDEX('8. Checklist'!$A$6:$A$265,MATCH(41,'8. Checklist'!$J$6:$J$265,0))),"")</f>
        <v>CL-003</v>
      </c>
      <c r="C46" s="48" t="str">
        <f>IFERROR(IF(INDEX('8. Checklist'!$B$6:$B$265,MATCH(41,'8. Checklist'!$J$6:$J$265,0))="","",INDEX('8. Checklist'!$B$6:$B$265,MATCH(41,'8. Checklist'!$J$6:$J$265,0))),"")</f>
        <v>Compliance &amp; Legal</v>
      </c>
      <c r="D46" s="48" t="str">
        <f>IFERROR(IF(INDEX('8. Checklist'!$C$6:$C$265,MATCH(41,'8. Checklist'!$J$6:$J$265,0))="","",INDEX('8. Checklist'!$C$6:$C$265,MATCH(41,'8. Checklist'!$J$6:$J$265,0))),"")</f>
        <v>Determine provider vs. deployer role per system</v>
      </c>
      <c r="E46" s="48" t="str">
        <f>IFERROR(IF(INDEX('8. Checklist'!$F$6:$F$265,MATCH(41,'8. Checklist'!$J$6:$J$265,0))="","",INDEX('8. Checklist'!$F$6:$F$265,MATCH(41,'8. Checklist'!$J$6:$J$265,0))),"")</f>
        <v/>
      </c>
      <c r="F46" s="67" t="str">
        <f>IFERROR(IF(INDEX('8. Checklist'!$G$6:$G$265,MATCH(41,'8. Checklist'!$J$6:$J$265,0))="","",INDEX('8. Checklist'!$G$6:$G$265,MATCH(41,'8. Checklist'!$J$6:$J$265,0))),"")</f>
        <v/>
      </c>
      <c r="G46" s="48" t="str">
        <f>IFERROR(IF(INDEX('8. Checklist'!$E$6:$E$265,MATCH(41,'8. Checklist'!$J$6:$J$265,0))="","",INDEX('8. Checklist'!$E$6:$E$265,MATCH(41,'8. Checklist'!$J$6:$J$265,0))),"")</f>
        <v>Not Started</v>
      </c>
    </row>
    <row r="47" spans="1:7" x14ac:dyDescent="0.45">
      <c r="A47" s="68">
        <f>IF(COUNT('8. Checklist'!$J$6:$J$265)&lt;42,"",42)</f>
        <v>42</v>
      </c>
      <c r="B47" s="42" t="str">
        <f>IFERROR(IF(INDEX('8. Checklist'!$A$6:$A$265,MATCH(42,'8. Checklist'!$J$6:$J$265,0))="","",INDEX('8. Checklist'!$A$6:$A$265,MATCH(42,'8. Checklist'!$J$6:$J$265,0))),"")</f>
        <v>CL-004</v>
      </c>
      <c r="C47" s="42" t="str">
        <f>IFERROR(IF(INDEX('8. Checklist'!$B$6:$B$265,MATCH(42,'8. Checklist'!$J$6:$J$265,0))="","",INDEX('8. Checklist'!$B$6:$B$265,MATCH(42,'8. Checklist'!$J$6:$J$265,0))),"")</f>
        <v>Compliance &amp; Legal</v>
      </c>
      <c r="D47" s="42" t="str">
        <f>IFERROR(IF(INDEX('8. Checklist'!$C$6:$C$265,MATCH(42,'8. Checklist'!$J$6:$J$265,0))="","",INDEX('8. Checklist'!$C$6:$C$265,MATCH(42,'8. Checklist'!$J$6:$J$265,0))),"")</f>
        <v>Track EU AI Act timeline and applicable deadlines</v>
      </c>
      <c r="E47" s="42" t="str">
        <f>IFERROR(IF(INDEX('8. Checklist'!$F$6:$F$265,MATCH(42,'8. Checklist'!$J$6:$J$265,0))="","",INDEX('8. Checklist'!$F$6:$F$265,MATCH(42,'8. Checklist'!$J$6:$J$265,0))),"")</f>
        <v/>
      </c>
      <c r="F47" s="69" t="str">
        <f>IFERROR(IF(INDEX('8. Checklist'!$G$6:$G$265,MATCH(42,'8. Checklist'!$J$6:$J$265,0))="","",INDEX('8. Checklist'!$G$6:$G$265,MATCH(42,'8. Checklist'!$J$6:$J$265,0))),"")</f>
        <v/>
      </c>
      <c r="G47" s="42" t="str">
        <f>IFERROR(IF(INDEX('8. Checklist'!$E$6:$E$265,MATCH(42,'8. Checklist'!$J$6:$J$265,0))="","",INDEX('8. Checklist'!$E$6:$E$265,MATCH(42,'8. Checklist'!$J$6:$J$265,0))),"")</f>
        <v>Not Started</v>
      </c>
    </row>
    <row r="48" spans="1:7" x14ac:dyDescent="0.45">
      <c r="A48" s="66">
        <f>IF(COUNT('8. Checklist'!$J$6:$J$265)&lt;43,"",43)</f>
        <v>43</v>
      </c>
      <c r="B48" s="48" t="str">
        <f>IFERROR(IF(INDEX('8. Checklist'!$A$6:$A$265,MATCH(43,'8. Checklist'!$J$6:$J$265,0))="","",INDEX('8. Checklist'!$A$6:$A$265,MATCH(43,'8. Checklist'!$J$6:$J$265,0))),"")</f>
        <v>CL-007</v>
      </c>
      <c r="C48" s="48" t="str">
        <f>IFERROR(IF(INDEX('8. Checklist'!$B$6:$B$265,MATCH(43,'8. Checklist'!$J$6:$J$265,0))="","",INDEX('8. Checklist'!$B$6:$B$265,MATCH(43,'8. Checklist'!$J$6:$J$265,0))),"")</f>
        <v>Compliance &amp; Legal</v>
      </c>
      <c r="D48" s="48" t="str">
        <f>IFERROR(IF(INDEX('8. Checklist'!$C$6:$C$265,MATCH(43,'8. Checklist'!$J$6:$J$265,0))="","",INDEX('8. Checklist'!$C$6:$C$265,MATCH(43,'8. Checklist'!$J$6:$J$265,0))),"")</f>
        <v>Implement Article 50 transparency obligations</v>
      </c>
      <c r="E48" s="48" t="str">
        <f>IFERROR(IF(INDEX('8. Checklist'!$F$6:$F$265,MATCH(43,'8. Checklist'!$J$6:$J$265,0))="","",INDEX('8. Checklist'!$F$6:$F$265,MATCH(43,'8. Checklist'!$J$6:$J$265,0))),"")</f>
        <v/>
      </c>
      <c r="F48" s="67" t="str">
        <f>IFERROR(IF(INDEX('8. Checklist'!$G$6:$G$265,MATCH(43,'8. Checklist'!$J$6:$J$265,0))="","",INDEX('8. Checklist'!$G$6:$G$265,MATCH(43,'8. Checklist'!$J$6:$J$265,0))),"")</f>
        <v/>
      </c>
      <c r="G48" s="48" t="str">
        <f>IFERROR(IF(INDEX('8. Checklist'!$E$6:$E$265,MATCH(43,'8. Checklist'!$J$6:$J$265,0))="","",INDEX('8. Checklist'!$E$6:$E$265,MATCH(43,'8. Checklist'!$J$6:$J$265,0))),"")</f>
        <v>Not Started</v>
      </c>
    </row>
    <row r="49" spans="1:7" x14ac:dyDescent="0.45">
      <c r="A49" s="68">
        <f>IF(COUNT('8. Checklist'!$J$6:$J$265)&lt;44,"",44)</f>
        <v>44</v>
      </c>
      <c r="B49" s="42" t="str">
        <f>IFERROR(IF(INDEX('8. Checklist'!$A$6:$A$265,MATCH(44,'8. Checklist'!$J$6:$J$265,0))="","",INDEX('8. Checklist'!$A$6:$A$265,MATCH(44,'8. Checklist'!$J$6:$J$265,0))),"")</f>
        <v>CL-008</v>
      </c>
      <c r="C49" s="42" t="str">
        <f>IFERROR(IF(INDEX('8. Checklist'!$B$6:$B$265,MATCH(44,'8. Checklist'!$J$6:$J$265,0))="","",INDEX('8. Checklist'!$B$6:$B$265,MATCH(44,'8. Checklist'!$J$6:$J$265,0))),"")</f>
        <v>Compliance &amp; Legal</v>
      </c>
      <c r="D49" s="42" t="str">
        <f>IFERROR(IF(INDEX('8. Checklist'!$C$6:$C$265,MATCH(44,'8. Checklist'!$J$6:$J$265,0))="","",INDEX('8. Checklist'!$C$6:$C$265,MATCH(44,'8. Checklist'!$J$6:$J$265,0))),"")</f>
        <v>Implement the Article 4 AI-literacy duty</v>
      </c>
      <c r="E49" s="42" t="str">
        <f>IFERROR(IF(INDEX('8. Checklist'!$F$6:$F$265,MATCH(44,'8. Checklist'!$J$6:$J$265,0))="","",INDEX('8. Checklist'!$F$6:$F$265,MATCH(44,'8. Checklist'!$J$6:$J$265,0))),"")</f>
        <v/>
      </c>
      <c r="F49" s="69" t="str">
        <f>IFERROR(IF(INDEX('8. Checklist'!$G$6:$G$265,MATCH(44,'8. Checklist'!$J$6:$J$265,0))="","",INDEX('8. Checklist'!$G$6:$G$265,MATCH(44,'8. Checklist'!$J$6:$J$265,0))),"")</f>
        <v/>
      </c>
      <c r="G49" s="42" t="str">
        <f>IFERROR(IF(INDEX('8. Checklist'!$E$6:$E$265,MATCH(44,'8. Checklist'!$J$6:$J$265,0))="","",INDEX('8. Checklist'!$E$6:$E$265,MATCH(44,'8. Checklist'!$J$6:$J$265,0))),"")</f>
        <v>Not Started</v>
      </c>
    </row>
    <row r="50" spans="1:7" x14ac:dyDescent="0.45">
      <c r="A50" s="66">
        <f>IF(COUNT('8. Checklist'!$J$6:$J$265)&lt;45,"",45)</f>
        <v>45</v>
      </c>
      <c r="B50" s="48" t="str">
        <f>IFERROR(IF(INDEX('8. Checklist'!$A$6:$A$265,MATCH(45,'8. Checklist'!$J$6:$J$265,0))="","",INDEX('8. Checklist'!$A$6:$A$265,MATCH(45,'8. Checklist'!$J$6:$J$265,0))),"")</f>
        <v>CL-009</v>
      </c>
      <c r="C50" s="48" t="str">
        <f>IFERROR(IF(INDEX('8. Checklist'!$B$6:$B$265,MATCH(45,'8. Checklist'!$J$6:$J$265,0))="","",INDEX('8. Checklist'!$B$6:$B$265,MATCH(45,'8. Checklist'!$J$6:$J$265,0))),"")</f>
        <v>Compliance &amp; Legal</v>
      </c>
      <c r="D50" s="48" t="str">
        <f>IFERROR(IF(INDEX('8. Checklist'!$C$6:$C$265,MATCH(45,'8. Checklist'!$J$6:$J$265,0))="","",INDEX('8. Checklist'!$C$6:$C$265,MATCH(45,'8. Checklist'!$J$6:$J$265,0))),"")</f>
        <v>Assess GDPR interaction and run DPIAs where needed</v>
      </c>
      <c r="E50" s="48" t="str">
        <f>IFERROR(IF(INDEX('8. Checklist'!$F$6:$F$265,MATCH(45,'8. Checklist'!$J$6:$J$265,0))="","",INDEX('8. Checklist'!$F$6:$F$265,MATCH(45,'8. Checklist'!$J$6:$J$265,0))),"")</f>
        <v/>
      </c>
      <c r="F50" s="67" t="str">
        <f>IFERROR(IF(INDEX('8. Checklist'!$G$6:$G$265,MATCH(45,'8. Checklist'!$J$6:$J$265,0))="","",INDEX('8. Checklist'!$G$6:$G$265,MATCH(45,'8. Checklist'!$J$6:$J$265,0))),"")</f>
        <v/>
      </c>
      <c r="G50" s="48" t="str">
        <f>IFERROR(IF(INDEX('8. Checklist'!$E$6:$E$265,MATCH(45,'8. Checklist'!$J$6:$J$265,0))="","",INDEX('8. Checklist'!$E$6:$E$265,MATCH(45,'8. Checklist'!$J$6:$J$265,0))),"")</f>
        <v>Not Started</v>
      </c>
    </row>
    <row r="51" spans="1:7" x14ac:dyDescent="0.45">
      <c r="A51" s="68">
        <f>IF(COUNT('8. Checklist'!$J$6:$J$265)&lt;46,"",46)</f>
        <v>46</v>
      </c>
      <c r="B51" s="42" t="str">
        <f>IFERROR(IF(INDEX('8. Checklist'!$A$6:$A$265,MATCH(46,'8. Checklist'!$J$6:$J$265,0))="","",INDEX('8. Checklist'!$A$6:$A$265,MATCH(46,'8. Checklist'!$J$6:$J$265,0))),"")</f>
        <v>CL-011</v>
      </c>
      <c r="C51" s="42" t="str">
        <f>IFERROR(IF(INDEX('8. Checklist'!$B$6:$B$265,MATCH(46,'8. Checklist'!$J$6:$J$265,0))="","",INDEX('8. Checklist'!$B$6:$B$265,MATCH(46,'8. Checklist'!$J$6:$J$265,0))),"")</f>
        <v>Compliance &amp; Legal</v>
      </c>
      <c r="D51" s="42" t="str">
        <f>IFERROR(IF(INDEX('8. Checklist'!$C$6:$C$265,MATCH(46,'8. Checklist'!$J$6:$J$265,0))="","",INDEX('8. Checklist'!$C$6:$C$265,MATCH(46,'8. Checklist'!$J$6:$J$265,0))),"")</f>
        <v>Establish serious-incident reporting capability</v>
      </c>
      <c r="E51" s="42" t="str">
        <f>IFERROR(IF(INDEX('8. Checklist'!$F$6:$F$265,MATCH(46,'8. Checklist'!$J$6:$J$265,0))="","",INDEX('8. Checklist'!$F$6:$F$265,MATCH(46,'8. Checklist'!$J$6:$J$265,0))),"")</f>
        <v/>
      </c>
      <c r="F51" s="69" t="str">
        <f>IFERROR(IF(INDEX('8. Checklist'!$G$6:$G$265,MATCH(46,'8. Checklist'!$J$6:$J$265,0))="","",INDEX('8. Checklist'!$G$6:$G$265,MATCH(46,'8. Checklist'!$J$6:$J$265,0))),"")</f>
        <v/>
      </c>
      <c r="G51" s="42" t="str">
        <f>IFERROR(IF(INDEX('8. Checklist'!$E$6:$E$265,MATCH(46,'8. Checklist'!$J$6:$J$265,0))="","",INDEX('8. Checklist'!$E$6:$E$265,MATCH(46,'8. Checklist'!$J$6:$J$265,0))),"")</f>
        <v>Not Started</v>
      </c>
    </row>
    <row r="52" spans="1:7" x14ac:dyDescent="0.45">
      <c r="A52" s="66">
        <f>IF(COUNT('8. Checklist'!$J$6:$J$265)&lt;47,"",47)</f>
        <v>47</v>
      </c>
      <c r="B52" s="48" t="str">
        <f>IFERROR(IF(INDEX('8. Checklist'!$A$6:$A$265,MATCH(47,'8. Checklist'!$J$6:$J$265,0))="","",INDEX('8. Checklist'!$A$6:$A$265,MATCH(47,'8. Checklist'!$J$6:$J$265,0))),"")</f>
        <v>CL-013</v>
      </c>
      <c r="C52" s="48" t="str">
        <f>IFERROR(IF(INDEX('8. Checklist'!$B$6:$B$265,MATCH(47,'8. Checklist'!$J$6:$J$265,0))="","",INDEX('8. Checklist'!$B$6:$B$265,MATCH(47,'8. Checklist'!$J$6:$J$265,0))),"")</f>
        <v>Compliance &amp; Legal</v>
      </c>
      <c r="D52" s="48" t="str">
        <f>IFERROR(IF(INDEX('8. Checklist'!$C$6:$C$265,MATCH(47,'8. Checklist'!$J$6:$J$265,0))="","",INDEX('8. Checklist'!$C$6:$C$265,MATCH(47,'8. Checklist'!$J$6:$J$265,0))),"")</f>
        <v>Determine applicability of sector regulation (GxP, BFSI, etc.)</v>
      </c>
      <c r="E52" s="48" t="str">
        <f>IFERROR(IF(INDEX('8. Checklist'!$F$6:$F$265,MATCH(47,'8. Checklist'!$J$6:$J$265,0))="","",INDEX('8. Checklist'!$F$6:$F$265,MATCH(47,'8. Checklist'!$J$6:$J$265,0))),"")</f>
        <v/>
      </c>
      <c r="F52" s="67" t="str">
        <f>IFERROR(IF(INDEX('8. Checklist'!$G$6:$G$265,MATCH(47,'8. Checklist'!$J$6:$J$265,0))="","",INDEX('8. Checklist'!$G$6:$G$265,MATCH(47,'8. Checklist'!$J$6:$J$265,0))),"")</f>
        <v/>
      </c>
      <c r="G52" s="48" t="str">
        <f>IFERROR(IF(INDEX('8. Checklist'!$E$6:$E$265,MATCH(47,'8. Checklist'!$J$6:$J$265,0))="","",INDEX('8. Checklist'!$E$6:$E$265,MATCH(47,'8. Checklist'!$J$6:$J$265,0))),"")</f>
        <v>Not Started</v>
      </c>
    </row>
    <row r="53" spans="1:7" x14ac:dyDescent="0.45">
      <c r="A53" s="68">
        <f>IF(COUNT('8. Checklist'!$J$6:$J$265)&lt;48,"",48)</f>
        <v>48</v>
      </c>
      <c r="B53" s="42" t="str">
        <f>IFERROR(IF(INDEX('8. Checklist'!$A$6:$A$265,MATCH(48,'8. Checklist'!$J$6:$J$265,0))="","",INDEX('8. Checklist'!$A$6:$A$265,MATCH(48,'8. Checklist'!$J$6:$J$265,0))),"")</f>
        <v>CL-015</v>
      </c>
      <c r="C53" s="42" t="str">
        <f>IFERROR(IF(INDEX('8. Checklist'!$B$6:$B$265,MATCH(48,'8. Checklist'!$J$6:$J$265,0))="","",INDEX('8. Checklist'!$B$6:$B$265,MATCH(48,'8. Checklist'!$J$6:$J$265,0))),"")</f>
        <v>Compliance &amp; Legal</v>
      </c>
      <c r="D53" s="42" t="str">
        <f>IFERROR(IF(INDEX('8. Checklist'!$C$6:$C$265,MATCH(48,'8. Checklist'!$J$6:$J$265,0))="","",INDEX('8. Checklist'!$C$6:$C$265,MATCH(48,'8. Checklist'!$J$6:$J$265,0))),"")</f>
        <v>Maintain a compliance evidence repository</v>
      </c>
      <c r="E53" s="42" t="str">
        <f>IFERROR(IF(INDEX('8. Checklist'!$F$6:$F$265,MATCH(48,'8. Checklist'!$J$6:$J$265,0))="","",INDEX('8. Checklist'!$F$6:$F$265,MATCH(48,'8. Checklist'!$J$6:$J$265,0))),"")</f>
        <v/>
      </c>
      <c r="F53" s="69" t="str">
        <f>IFERROR(IF(INDEX('8. Checklist'!$G$6:$G$265,MATCH(48,'8. Checklist'!$J$6:$J$265,0))="","",INDEX('8. Checklist'!$G$6:$G$265,MATCH(48,'8. Checklist'!$J$6:$J$265,0))),"")</f>
        <v/>
      </c>
      <c r="G53" s="42" t="str">
        <f>IFERROR(IF(INDEX('8. Checklist'!$E$6:$E$265,MATCH(48,'8. Checklist'!$J$6:$J$265,0))="","",INDEX('8. Checklist'!$E$6:$E$265,MATCH(48,'8. Checklist'!$J$6:$J$265,0))),"")</f>
        <v>Not Started</v>
      </c>
    </row>
    <row r="54" spans="1:7" x14ac:dyDescent="0.45">
      <c r="A54" s="66">
        <f>IF(COUNT('8. Checklist'!$J$6:$J$265)&lt;49,"",49)</f>
        <v>49</v>
      </c>
      <c r="B54" s="48" t="str">
        <f>IFERROR(IF(INDEX('8. Checklist'!$A$6:$A$265,MATCH(49,'8. Checklist'!$J$6:$J$265,0))="","",INDEX('8. Checklist'!$A$6:$A$265,MATCH(49,'8. Checklist'!$J$6:$J$265,0))),"")</f>
        <v>CL-018</v>
      </c>
      <c r="C54" s="48" t="str">
        <f>IFERROR(IF(INDEX('8. Checklist'!$B$6:$B$265,MATCH(49,'8. Checklist'!$J$6:$J$265,0))="","",INDEX('8. Checklist'!$B$6:$B$265,MATCH(49,'8. Checklist'!$J$6:$J$265,0))),"")</f>
        <v>Compliance &amp; Legal</v>
      </c>
      <c r="D54" s="48" t="str">
        <f>IFERROR(IF(INDEX('8. Checklist'!$C$6:$C$265,MATCH(49,'8. Checklist'!$J$6:$J$265,0))="","",INDEX('8. Checklist'!$C$6:$C$265,MATCH(49,'8. Checklist'!$J$6:$J$265,0))),"")</f>
        <v>Track prohibited-practice compliance</v>
      </c>
      <c r="E54" s="48" t="str">
        <f>IFERROR(IF(INDEX('8. Checklist'!$F$6:$F$265,MATCH(49,'8. Checklist'!$J$6:$J$265,0))="","",INDEX('8. Checklist'!$F$6:$F$265,MATCH(49,'8. Checklist'!$J$6:$J$265,0))),"")</f>
        <v/>
      </c>
      <c r="F54" s="67" t="str">
        <f>IFERROR(IF(INDEX('8. Checklist'!$G$6:$G$265,MATCH(49,'8. Checklist'!$J$6:$J$265,0))="","",INDEX('8. Checklist'!$G$6:$G$265,MATCH(49,'8. Checklist'!$J$6:$J$265,0))),"")</f>
        <v/>
      </c>
      <c r="G54" s="48" t="str">
        <f>IFERROR(IF(INDEX('8. Checklist'!$E$6:$E$265,MATCH(49,'8. Checklist'!$J$6:$J$265,0))="","",INDEX('8. Checklist'!$E$6:$E$265,MATCH(49,'8. Checklist'!$J$6:$J$265,0))),"")</f>
        <v>Not Started</v>
      </c>
    </row>
    <row r="55" spans="1:7" x14ac:dyDescent="0.45">
      <c r="A55" s="68">
        <f>IF(COUNT('8. Checklist'!$J$6:$J$265)&lt;50,"",50)</f>
        <v>50</v>
      </c>
      <c r="B55" s="42" t="str">
        <f>IFERROR(IF(INDEX('8. Checklist'!$A$6:$A$265,MATCH(50,'8. Checklist'!$J$6:$J$265,0))="","",INDEX('8. Checklist'!$A$6:$A$265,MATCH(50,'8. Checklist'!$J$6:$J$265,0))),"")</f>
        <v>HO-001</v>
      </c>
      <c r="C55" s="42" t="str">
        <f>IFERROR(IF(INDEX('8. Checklist'!$B$6:$B$265,MATCH(50,'8. Checklist'!$J$6:$J$265,0))="","",INDEX('8. Checklist'!$B$6:$B$265,MATCH(50,'8. Checklist'!$J$6:$J$265,0))),"")</f>
        <v>Human Oversight</v>
      </c>
      <c r="D55" s="42" t="str">
        <f>IFERROR(IF(INDEX('8. Checklist'!$C$6:$C$265,MATCH(50,'8. Checklist'!$J$6:$J$265,0))="","",INDEX('8. Checklist'!$C$6:$C$265,MATCH(50,'8. Checklist'!$J$6:$J$265,0))),"")</f>
        <v>Design human oversight per high-risk system</v>
      </c>
      <c r="E55" s="42" t="str">
        <f>IFERROR(IF(INDEX('8. Checklist'!$F$6:$F$265,MATCH(50,'8. Checklist'!$J$6:$J$265,0))="","",INDEX('8. Checklist'!$F$6:$F$265,MATCH(50,'8. Checklist'!$J$6:$J$265,0))),"")</f>
        <v/>
      </c>
      <c r="F55" s="69" t="str">
        <f>IFERROR(IF(INDEX('8. Checklist'!$G$6:$G$265,MATCH(50,'8. Checklist'!$J$6:$J$265,0))="","",INDEX('8. Checklist'!$G$6:$G$265,MATCH(50,'8. Checklist'!$J$6:$J$265,0))),"")</f>
        <v/>
      </c>
      <c r="G55" s="42" t="str">
        <f>IFERROR(IF(INDEX('8. Checklist'!$E$6:$E$265,MATCH(50,'8. Checklist'!$J$6:$J$265,0))="","",INDEX('8. Checklist'!$E$6:$E$265,MATCH(50,'8. Checklist'!$J$6:$J$265,0))),"")</f>
        <v>Not Started</v>
      </c>
    </row>
    <row r="56" spans="1:7" x14ac:dyDescent="0.45">
      <c r="A56" s="66">
        <f>IF(COUNT('8. Checklist'!$J$6:$J$265)&lt;51,"",51)</f>
        <v>51</v>
      </c>
      <c r="B56" s="48" t="str">
        <f>IFERROR(IF(INDEX('8. Checklist'!$A$6:$A$265,MATCH(51,'8. Checklist'!$J$6:$J$265,0))="","",INDEX('8. Checklist'!$A$6:$A$265,MATCH(51,'8. Checklist'!$J$6:$J$265,0))),"")</f>
        <v>HO-002</v>
      </c>
      <c r="C56" s="48" t="str">
        <f>IFERROR(IF(INDEX('8. Checklist'!$B$6:$B$265,MATCH(51,'8. Checklist'!$J$6:$J$265,0))="","",INDEX('8. Checklist'!$B$6:$B$265,MATCH(51,'8. Checklist'!$J$6:$J$265,0))),"")</f>
        <v>Human Oversight</v>
      </c>
      <c r="D56" s="48" t="str">
        <f>IFERROR(IF(INDEX('8. Checklist'!$C$6:$C$265,MATCH(51,'8. Checklist'!$J$6:$J$265,0))="","",INDEX('8. Checklist'!$C$6:$C$265,MATCH(51,'8. Checklist'!$J$6:$J$265,0))),"")</f>
        <v>Define oversight roles and authority</v>
      </c>
      <c r="E56" s="48" t="str">
        <f>IFERROR(IF(INDEX('8. Checklist'!$F$6:$F$265,MATCH(51,'8. Checklist'!$J$6:$J$265,0))="","",INDEX('8. Checklist'!$F$6:$F$265,MATCH(51,'8. Checklist'!$J$6:$J$265,0))),"")</f>
        <v/>
      </c>
      <c r="F56" s="67" t="str">
        <f>IFERROR(IF(INDEX('8. Checklist'!$G$6:$G$265,MATCH(51,'8. Checklist'!$J$6:$J$265,0))="","",INDEX('8. Checklist'!$G$6:$G$265,MATCH(51,'8. Checklist'!$J$6:$J$265,0))),"")</f>
        <v/>
      </c>
      <c r="G56" s="48" t="str">
        <f>IFERROR(IF(INDEX('8. Checklist'!$E$6:$E$265,MATCH(51,'8. Checklist'!$J$6:$J$265,0))="","",INDEX('8. Checklist'!$E$6:$E$265,MATCH(51,'8. Checklist'!$J$6:$J$265,0))),"")</f>
        <v>Not Started</v>
      </c>
    </row>
    <row r="57" spans="1:7" x14ac:dyDescent="0.45">
      <c r="A57" s="68">
        <f>IF(COUNT('8. Checklist'!$J$6:$J$265)&lt;52,"",52)</f>
        <v>52</v>
      </c>
      <c r="B57" s="42" t="str">
        <f>IFERROR(IF(INDEX('8. Checklist'!$A$6:$A$265,MATCH(52,'8. Checklist'!$J$6:$J$265,0))="","",INDEX('8. Checklist'!$A$6:$A$265,MATCH(52,'8. Checklist'!$J$6:$J$265,0))),"")</f>
        <v>HO-004</v>
      </c>
      <c r="C57" s="42" t="str">
        <f>IFERROR(IF(INDEX('8. Checklist'!$B$6:$B$265,MATCH(52,'8. Checklist'!$J$6:$J$265,0))="","",INDEX('8. Checklist'!$B$6:$B$265,MATCH(52,'8. Checklist'!$J$6:$J$265,0))),"")</f>
        <v>Human Oversight</v>
      </c>
      <c r="D57" s="42" t="str">
        <f>IFERROR(IF(INDEX('8. Checklist'!$C$6:$C$265,MATCH(52,'8. Checklist'!$J$6:$J$265,0))="","",INDEX('8. Checklist'!$C$6:$C$265,MATCH(52,'8. Checklist'!$J$6:$J$265,0))),"")</f>
        <v>Ensure overseers can intervene or halt the system</v>
      </c>
      <c r="E57" s="42" t="str">
        <f>IFERROR(IF(INDEX('8. Checklist'!$F$6:$F$265,MATCH(52,'8. Checklist'!$J$6:$J$265,0))="","",INDEX('8. Checklist'!$F$6:$F$265,MATCH(52,'8. Checklist'!$J$6:$J$265,0))),"")</f>
        <v/>
      </c>
      <c r="F57" s="69" t="str">
        <f>IFERROR(IF(INDEX('8. Checklist'!$G$6:$G$265,MATCH(52,'8. Checklist'!$J$6:$J$265,0))="","",INDEX('8. Checklist'!$G$6:$G$265,MATCH(52,'8. Checklist'!$J$6:$J$265,0))),"")</f>
        <v/>
      </c>
      <c r="G57" s="42" t="str">
        <f>IFERROR(IF(INDEX('8. Checklist'!$E$6:$E$265,MATCH(52,'8. Checklist'!$J$6:$J$265,0))="","",INDEX('8. Checklist'!$E$6:$E$265,MATCH(52,'8. Checklist'!$J$6:$J$265,0))),"")</f>
        <v>Not Started</v>
      </c>
    </row>
    <row r="58" spans="1:7" x14ac:dyDescent="0.45">
      <c r="A58" s="66">
        <f>IF(COUNT('8. Checklist'!$J$6:$J$265)&lt;53,"",53)</f>
        <v>53</v>
      </c>
      <c r="B58" s="48" t="str">
        <f>IFERROR(IF(INDEX('8. Checklist'!$A$6:$A$265,MATCH(53,'8. Checklist'!$J$6:$J$265,0))="","",INDEX('8. Checklist'!$A$6:$A$265,MATCH(53,'8. Checklist'!$J$6:$J$265,0))),"")</f>
        <v>HO-005</v>
      </c>
      <c r="C58" s="48" t="str">
        <f>IFERROR(IF(INDEX('8. Checklist'!$B$6:$B$265,MATCH(53,'8. Checklist'!$J$6:$J$265,0))="","",INDEX('8. Checklist'!$B$6:$B$265,MATCH(53,'8. Checklist'!$J$6:$J$265,0))),"")</f>
        <v>Human Oversight</v>
      </c>
      <c r="D58" s="48" t="str">
        <f>IFERROR(IF(INDEX('8. Checklist'!$C$6:$C$265,MATCH(53,'8. Checklist'!$J$6:$J$265,0))="","",INDEX('8. Checklist'!$C$6:$C$265,MATCH(53,'8. Checklist'!$J$6:$J$265,0))),"")</f>
        <v>Define when human approval is mandatory</v>
      </c>
      <c r="E58" s="48" t="str">
        <f>IFERROR(IF(INDEX('8. Checklist'!$F$6:$F$265,MATCH(53,'8. Checklist'!$J$6:$J$265,0))="","",INDEX('8. Checklist'!$F$6:$F$265,MATCH(53,'8. Checklist'!$J$6:$J$265,0))),"")</f>
        <v/>
      </c>
      <c r="F58" s="67" t="str">
        <f>IFERROR(IF(INDEX('8. Checklist'!$G$6:$G$265,MATCH(53,'8. Checklist'!$J$6:$J$265,0))="","",INDEX('8. Checklist'!$G$6:$G$265,MATCH(53,'8. Checklist'!$J$6:$J$265,0))),"")</f>
        <v/>
      </c>
      <c r="G58" s="48" t="str">
        <f>IFERROR(IF(INDEX('8. Checklist'!$E$6:$E$265,MATCH(53,'8. Checklist'!$J$6:$J$265,0))="","",INDEX('8. Checklist'!$E$6:$E$265,MATCH(53,'8. Checklist'!$J$6:$J$265,0))),"")</f>
        <v>Not Started</v>
      </c>
    </row>
    <row r="59" spans="1:7" x14ac:dyDescent="0.45">
      <c r="A59" s="68">
        <f>IF(COUNT('8. Checklist'!$J$6:$J$265)&lt;54,"",54)</f>
        <v>54</v>
      </c>
      <c r="B59" s="42" t="str">
        <f>IFERROR(IF(INDEX('8. Checklist'!$A$6:$A$265,MATCH(54,'8. Checklist'!$J$6:$J$265,0))="","",INDEX('8. Checklist'!$A$6:$A$265,MATCH(54,'8. Checklist'!$J$6:$J$265,0))),"")</f>
        <v>DE-002</v>
      </c>
      <c r="C59" s="42" t="str">
        <f>IFERROR(IF(INDEX('8. Checklist'!$B$6:$B$265,MATCH(54,'8. Checklist'!$J$6:$J$265,0))="","",INDEX('8. Checklist'!$B$6:$B$265,MATCH(54,'8. Checklist'!$J$6:$J$265,0))),"")</f>
        <v>Documentation &amp; Evidence</v>
      </c>
      <c r="D59" s="42" t="str">
        <f>IFERROR(IF(INDEX('8. Checklist'!$C$6:$C$265,MATCH(54,'8. Checklist'!$J$6:$J$265,0))="","",INDEX('8. Checklist'!$C$6:$C$265,MATCH(54,'8. Checklist'!$J$6:$J$265,0))),"")</f>
        <v>Maintain a central evidence repository</v>
      </c>
      <c r="E59" s="42" t="str">
        <f>IFERROR(IF(INDEX('8. Checklist'!$F$6:$F$265,MATCH(54,'8. Checklist'!$J$6:$J$265,0))="","",INDEX('8. Checklist'!$F$6:$F$265,MATCH(54,'8. Checklist'!$J$6:$J$265,0))),"")</f>
        <v/>
      </c>
      <c r="F59" s="69" t="str">
        <f>IFERROR(IF(INDEX('8. Checklist'!$G$6:$G$265,MATCH(54,'8. Checklist'!$J$6:$J$265,0))="","",INDEX('8. Checklist'!$G$6:$G$265,MATCH(54,'8. Checklist'!$J$6:$J$265,0))),"")</f>
        <v/>
      </c>
      <c r="G59" s="42" t="str">
        <f>IFERROR(IF(INDEX('8. Checklist'!$E$6:$E$265,MATCH(54,'8. Checklist'!$J$6:$J$265,0))="","",INDEX('8. Checklist'!$E$6:$E$265,MATCH(54,'8. Checklist'!$J$6:$J$265,0))),"")</f>
        <v>Not Started</v>
      </c>
    </row>
    <row r="60" spans="1:7" x14ac:dyDescent="0.45">
      <c r="A60" s="66">
        <f>IF(COUNT('8. Checklist'!$J$6:$J$265)&lt;55,"",55)</f>
        <v>55</v>
      </c>
      <c r="B60" s="48" t="str">
        <f>IFERROR(IF(INDEX('8. Checklist'!$A$6:$A$265,MATCH(55,'8. Checklist'!$J$6:$J$265,0))="","",INDEX('8. Checklist'!$A$6:$A$265,MATCH(55,'8. Checklist'!$J$6:$J$265,0))),"")</f>
        <v>DE-008</v>
      </c>
      <c r="C60" s="48" t="str">
        <f>IFERROR(IF(INDEX('8. Checklist'!$B$6:$B$265,MATCH(55,'8. Checklist'!$J$6:$J$265,0))="","",INDEX('8. Checklist'!$B$6:$B$265,MATCH(55,'8. Checklist'!$J$6:$J$265,0))),"")</f>
        <v>Documentation &amp; Evidence</v>
      </c>
      <c r="D60" s="48" t="str">
        <f>IFERROR(IF(INDEX('8. Checklist'!$C$6:$C$265,MATCH(55,'8. Checklist'!$J$6:$J$265,0))="","",INDEX('8. Checklist'!$C$6:$C$265,MATCH(55,'8. Checklist'!$J$6:$J$265,0))),"")</f>
        <v>Map evidence to obligations across all instruments</v>
      </c>
      <c r="E60" s="48" t="str">
        <f>IFERROR(IF(INDEX('8. Checklist'!$F$6:$F$265,MATCH(55,'8. Checklist'!$J$6:$J$265,0))="","",INDEX('8. Checklist'!$F$6:$F$265,MATCH(55,'8. Checklist'!$J$6:$J$265,0))),"")</f>
        <v/>
      </c>
      <c r="F60" s="67" t="str">
        <f>IFERROR(IF(INDEX('8. Checklist'!$G$6:$G$265,MATCH(55,'8. Checklist'!$J$6:$J$265,0))="","",INDEX('8. Checklist'!$G$6:$G$265,MATCH(55,'8. Checklist'!$J$6:$J$265,0))),"")</f>
        <v/>
      </c>
      <c r="G60" s="48" t="str">
        <f>IFERROR(IF(INDEX('8. Checklist'!$E$6:$E$265,MATCH(55,'8. Checklist'!$J$6:$J$265,0))="","",INDEX('8. Checklist'!$E$6:$E$265,MATCH(55,'8. Checklist'!$J$6:$J$265,0))),"")</f>
        <v>Not Started</v>
      </c>
    </row>
    <row r="61" spans="1:7" x14ac:dyDescent="0.45">
      <c r="A61" s="68">
        <f>IF(COUNT('8. Checklist'!$J$6:$J$265)&lt;56,"",56)</f>
        <v>56</v>
      </c>
      <c r="B61" s="42" t="str">
        <f>IFERROR(IF(INDEX('8. Checklist'!$A$6:$A$265,MATCH(56,'8. Checklist'!$J$6:$J$265,0))="","",INDEX('8. Checklist'!$A$6:$A$265,MATCH(56,'8. Checklist'!$J$6:$J$265,0))),"")</f>
        <v>DE-010</v>
      </c>
      <c r="C61" s="42" t="str">
        <f>IFERROR(IF(INDEX('8. Checklist'!$B$6:$B$265,MATCH(56,'8. Checklist'!$J$6:$J$265,0))="","",INDEX('8. Checklist'!$B$6:$B$265,MATCH(56,'8. Checklist'!$J$6:$J$265,0))),"")</f>
        <v>Documentation &amp; Evidence</v>
      </c>
      <c r="D61" s="42" t="str">
        <f>IFERROR(IF(INDEX('8. Checklist'!$C$6:$C$265,MATCH(56,'8. Checklist'!$J$6:$J$265,0))="","",INDEX('8. Checklist'!$C$6:$C$265,MATCH(56,'8. Checklist'!$J$6:$J$265,0))),"")</f>
        <v>Ensure evidence is audit-ready on demand</v>
      </c>
      <c r="E61" s="42" t="str">
        <f>IFERROR(IF(INDEX('8. Checklist'!$F$6:$F$265,MATCH(56,'8. Checklist'!$J$6:$J$265,0))="","",INDEX('8. Checklist'!$F$6:$F$265,MATCH(56,'8. Checklist'!$J$6:$J$265,0))),"")</f>
        <v/>
      </c>
      <c r="F61" s="69" t="str">
        <f>IFERROR(IF(INDEX('8. Checklist'!$G$6:$G$265,MATCH(56,'8. Checklist'!$J$6:$J$265,0))="","",INDEX('8. Checklist'!$G$6:$G$265,MATCH(56,'8. Checklist'!$J$6:$J$265,0))),"")</f>
        <v/>
      </c>
      <c r="G61" s="42" t="str">
        <f>IFERROR(IF(INDEX('8. Checklist'!$E$6:$E$265,MATCH(56,'8. Checklist'!$J$6:$J$265,0))="","",INDEX('8. Checklist'!$E$6:$E$265,MATCH(56,'8. Checklist'!$J$6:$J$265,0))),"")</f>
        <v>Not Started</v>
      </c>
    </row>
    <row r="62" spans="1:7" x14ac:dyDescent="0.45">
      <c r="A62" s="66">
        <f>IF(COUNT('8. Checklist'!$J$6:$J$265)&lt;57,"",57)</f>
        <v>57</v>
      </c>
      <c r="B62" s="48" t="str">
        <f>IFERROR(IF(INDEX('8. Checklist'!$A$6:$A$265,MATCH(57,'8. Checklist'!$J$6:$J$265,0))="","",INDEX('8. Checklist'!$A$6:$A$265,MATCH(57,'8. Checklist'!$J$6:$J$265,0))),"")</f>
        <v>DE-011</v>
      </c>
      <c r="C62" s="48" t="str">
        <f>IFERROR(IF(INDEX('8. Checklist'!$B$6:$B$265,MATCH(57,'8. Checklist'!$J$6:$J$265,0))="","",INDEX('8. Checklist'!$B$6:$B$265,MATCH(57,'8. Checklist'!$J$6:$J$265,0))),"")</f>
        <v>Documentation &amp; Evidence</v>
      </c>
      <c r="D62" s="48" t="str">
        <f>IFERROR(IF(INDEX('8. Checklist'!$C$6:$C$265,MATCH(57,'8. Checklist'!$J$6:$J$265,0))="","",INDEX('8. Checklist'!$C$6:$C$265,MATCH(57,'8. Checklist'!$J$6:$J$265,0))),"")</f>
        <v>Document risk and impact assessments</v>
      </c>
      <c r="E62" s="48" t="str">
        <f>IFERROR(IF(INDEX('8. Checklist'!$F$6:$F$265,MATCH(57,'8. Checklist'!$J$6:$J$265,0))="","",INDEX('8. Checklist'!$F$6:$F$265,MATCH(57,'8. Checklist'!$J$6:$J$265,0))),"")</f>
        <v/>
      </c>
      <c r="F62" s="67" t="str">
        <f>IFERROR(IF(INDEX('8. Checklist'!$G$6:$G$265,MATCH(57,'8. Checklist'!$J$6:$J$265,0))="","",INDEX('8. Checklist'!$G$6:$G$265,MATCH(57,'8. Checklist'!$J$6:$J$265,0))),"")</f>
        <v/>
      </c>
      <c r="G62" s="48" t="str">
        <f>IFERROR(IF(INDEX('8. Checklist'!$E$6:$E$265,MATCH(57,'8. Checklist'!$J$6:$J$265,0))="","",INDEX('8. Checklist'!$E$6:$E$265,MATCH(57,'8. Checklist'!$J$6:$J$265,0))),"")</f>
        <v>Not Started</v>
      </c>
    </row>
    <row r="63" spans="1:7" x14ac:dyDescent="0.45">
      <c r="A63" s="68">
        <f>IF(COUNT('8. Checklist'!$J$6:$J$265)&lt;58,"",58)</f>
        <v>58</v>
      </c>
      <c r="B63" s="42" t="str">
        <f>IFERROR(IF(INDEX('8. Checklist'!$A$6:$A$265,MATCH(58,'8. Checklist'!$J$6:$J$265,0))="","",INDEX('8. Checklist'!$A$6:$A$265,MATCH(58,'8. Checklist'!$J$6:$J$265,0))),"")</f>
        <v>DE-014</v>
      </c>
      <c r="C63" s="42" t="str">
        <f>IFERROR(IF(INDEX('8. Checklist'!$B$6:$B$265,MATCH(58,'8. Checklist'!$J$6:$J$265,0))="","",INDEX('8. Checklist'!$B$6:$B$265,MATCH(58,'8. Checklist'!$J$6:$J$265,0))),"")</f>
        <v>Documentation &amp; Evidence</v>
      </c>
      <c r="D63" s="42" t="str">
        <f>IFERROR(IF(INDEX('8. Checklist'!$C$6:$C$265,MATCH(58,'8. Checklist'!$J$6:$J$265,0))="","",INDEX('8. Checklist'!$C$6:$C$265,MATCH(58,'8. Checklist'!$J$6:$J$265,0))),"")</f>
        <v>Maintain an evidence index (artifact-to-control)</v>
      </c>
      <c r="E63" s="42" t="str">
        <f>IFERROR(IF(INDEX('8. Checklist'!$F$6:$F$265,MATCH(58,'8. Checklist'!$J$6:$J$265,0))="","",INDEX('8. Checklist'!$F$6:$F$265,MATCH(58,'8. Checklist'!$J$6:$J$265,0))),"")</f>
        <v/>
      </c>
      <c r="F63" s="69" t="str">
        <f>IFERROR(IF(INDEX('8. Checklist'!$G$6:$G$265,MATCH(58,'8. Checklist'!$J$6:$J$265,0))="","",INDEX('8. Checklist'!$G$6:$G$265,MATCH(58,'8. Checklist'!$J$6:$J$265,0))),"")</f>
        <v/>
      </c>
      <c r="G63" s="42" t="str">
        <f>IFERROR(IF(INDEX('8. Checklist'!$E$6:$E$265,MATCH(58,'8. Checklist'!$J$6:$J$265,0))="","",INDEX('8. Checklist'!$E$6:$E$265,MATCH(58,'8. Checklist'!$J$6:$J$265,0))),"")</f>
        <v>Not Started</v>
      </c>
    </row>
    <row r="64" spans="1:7" x14ac:dyDescent="0.45">
      <c r="A64" s="66">
        <f>IF(COUNT('8. Checklist'!$J$6:$J$265)&lt;59,"",59)</f>
        <v>59</v>
      </c>
      <c r="B64" s="48" t="str">
        <f>IFERROR(IF(INDEX('8. Checklist'!$A$6:$A$265,MATCH(59,'8. Checklist'!$J$6:$J$265,0))="","",INDEX('8. Checklist'!$A$6:$A$265,MATCH(59,'8. Checklist'!$J$6:$J$265,0))),"")</f>
        <v>VT-001</v>
      </c>
      <c r="C64" s="48" t="str">
        <f>IFERROR(IF(INDEX('8. Checklist'!$B$6:$B$265,MATCH(59,'8. Checklist'!$J$6:$J$265,0))="","",INDEX('8. Checklist'!$B$6:$B$265,MATCH(59,'8. Checklist'!$J$6:$J$265,0))),"")</f>
        <v>Vendor &amp; Third-Party</v>
      </c>
      <c r="D64" s="48" t="str">
        <f>IFERROR(IF(INDEX('8. Checklist'!$C$6:$C$265,MATCH(59,'8. Checklist'!$J$6:$J$265,0))="","",INDEX('8. Checklist'!$C$6:$C$265,MATCH(59,'8. Checklist'!$J$6:$J$265,0))),"")</f>
        <v>Maintain a register of third-party AI systems and services</v>
      </c>
      <c r="E64" s="48" t="str">
        <f>IFERROR(IF(INDEX('8. Checklist'!$F$6:$F$265,MATCH(59,'8. Checklist'!$J$6:$J$265,0))="","",INDEX('8. Checklist'!$F$6:$F$265,MATCH(59,'8. Checklist'!$J$6:$J$265,0))),"")</f>
        <v/>
      </c>
      <c r="F64" s="67" t="str">
        <f>IFERROR(IF(INDEX('8. Checklist'!$G$6:$G$265,MATCH(59,'8. Checklist'!$J$6:$J$265,0))="","",INDEX('8. Checklist'!$G$6:$G$265,MATCH(59,'8. Checklist'!$J$6:$J$265,0))),"")</f>
        <v/>
      </c>
      <c r="G64" s="48" t="str">
        <f>IFERROR(IF(INDEX('8. Checklist'!$E$6:$E$265,MATCH(59,'8. Checklist'!$J$6:$J$265,0))="","",INDEX('8. Checklist'!$E$6:$E$265,MATCH(59,'8. Checklist'!$J$6:$J$265,0))),"")</f>
        <v>Not Started</v>
      </c>
    </row>
    <row r="65" spans="1:7" x14ac:dyDescent="0.45">
      <c r="A65" s="68">
        <f>IF(COUNT('8. Checklist'!$J$6:$J$265)&lt;60,"",60)</f>
        <v>60</v>
      </c>
      <c r="B65" s="42" t="str">
        <f>IFERROR(IF(INDEX('8. Checklist'!$A$6:$A$265,MATCH(60,'8. Checklist'!$J$6:$J$265,0))="","",INDEX('8. Checklist'!$A$6:$A$265,MATCH(60,'8. Checklist'!$J$6:$J$265,0))),"")</f>
        <v>VT-005</v>
      </c>
      <c r="C65" s="42" t="str">
        <f>IFERROR(IF(INDEX('8. Checklist'!$B$6:$B$265,MATCH(60,'8. Checklist'!$J$6:$J$265,0))="","",INDEX('8. Checklist'!$B$6:$B$265,MATCH(60,'8. Checklist'!$J$6:$J$265,0))),"")</f>
        <v>Vendor &amp; Third-Party</v>
      </c>
      <c r="D65" s="42" t="str">
        <f>IFERROR(IF(INDEX('8. Checklist'!$C$6:$C$265,MATCH(60,'8. Checklist'!$J$6:$J$265,0))="","",INDEX('8. Checklist'!$C$6:$C$265,MATCH(60,'8. Checklist'!$J$6:$J$265,0))),"")</f>
        <v>Assess provider vs. deployer obligations per vendor</v>
      </c>
      <c r="E65" s="42" t="str">
        <f>IFERROR(IF(INDEX('8. Checklist'!$F$6:$F$265,MATCH(60,'8. Checklist'!$J$6:$J$265,0))="","",INDEX('8. Checklist'!$F$6:$F$265,MATCH(60,'8. Checklist'!$J$6:$J$265,0))),"")</f>
        <v/>
      </c>
      <c r="F65" s="69" t="str">
        <f>IFERROR(IF(INDEX('8. Checklist'!$G$6:$G$265,MATCH(60,'8. Checklist'!$J$6:$J$265,0))="","",INDEX('8. Checklist'!$G$6:$G$265,MATCH(60,'8. Checklist'!$J$6:$J$265,0))),"")</f>
        <v/>
      </c>
      <c r="G65" s="42" t="str">
        <f>IFERROR(IF(INDEX('8. Checklist'!$E$6:$E$265,MATCH(60,'8. Checklist'!$J$6:$J$265,0))="","",INDEX('8. Checklist'!$E$6:$E$265,MATCH(60,'8. Checklist'!$J$6:$J$265,0))),"")</f>
        <v>Not Started</v>
      </c>
    </row>
    <row r="66" spans="1:7" x14ac:dyDescent="0.45">
      <c r="A66" s="66">
        <f>IF(COUNT('8. Checklist'!$J$6:$J$265)&lt;61,"",61)</f>
        <v>61</v>
      </c>
      <c r="B66" s="48" t="str">
        <f>IFERROR(IF(INDEX('8. Checklist'!$A$6:$A$265,MATCH(61,'8. Checklist'!$J$6:$J$265,0))="","",INDEX('8. Checklist'!$A$6:$A$265,MATCH(61,'8. Checklist'!$J$6:$J$265,0))),"")</f>
        <v>VT-014</v>
      </c>
      <c r="C66" s="48" t="str">
        <f>IFERROR(IF(INDEX('8. Checklist'!$B$6:$B$265,MATCH(61,'8. Checklist'!$J$6:$J$265,0))="","",INDEX('8. Checklist'!$B$6:$B$265,MATCH(61,'8. Checklist'!$J$6:$J$265,0))),"")</f>
        <v>Vendor &amp; Third-Party</v>
      </c>
      <c r="D66" s="48" t="str">
        <f>IFERROR(IF(INDEX('8. Checklist'!$C$6:$C$265,MATCH(61,'8. Checklist'!$J$6:$J$265,0))="","",INDEX('8. Checklist'!$C$6:$C$265,MATCH(61,'8. Checklist'!$J$6:$J$265,0))),"")</f>
        <v>Assess embedded AI in procured SaaS</v>
      </c>
      <c r="E66" s="48" t="str">
        <f>IFERROR(IF(INDEX('8. Checklist'!$F$6:$F$265,MATCH(61,'8. Checklist'!$J$6:$J$265,0))="","",INDEX('8. Checklist'!$F$6:$F$265,MATCH(61,'8. Checklist'!$J$6:$J$265,0))),"")</f>
        <v/>
      </c>
      <c r="F66" s="67" t="str">
        <f>IFERROR(IF(INDEX('8. Checklist'!$G$6:$G$265,MATCH(61,'8. Checklist'!$J$6:$J$265,0))="","",INDEX('8. Checklist'!$G$6:$G$265,MATCH(61,'8. Checklist'!$J$6:$J$265,0))),"")</f>
        <v/>
      </c>
      <c r="G66" s="48" t="str">
        <f>IFERROR(IF(INDEX('8. Checklist'!$E$6:$E$265,MATCH(61,'8. Checklist'!$J$6:$J$265,0))="","",INDEX('8. Checklist'!$E$6:$E$265,MATCH(61,'8. Checklist'!$J$6:$J$265,0))),"")</f>
        <v>Not Started</v>
      </c>
    </row>
    <row r="67" spans="1:7" x14ac:dyDescent="0.45">
      <c r="A67" s="68">
        <f>IF(COUNT('8. Checklist'!$J$6:$J$265)&lt;62,"",62)</f>
        <v>62</v>
      </c>
      <c r="B67" s="42" t="str">
        <f>IFERROR(IF(INDEX('8. Checklist'!$A$6:$A$265,MATCH(62,'8. Checklist'!$J$6:$J$265,0))="","",INDEX('8. Checklist'!$A$6:$A$265,MATCH(62,'8. Checklist'!$J$6:$J$265,0))),"")</f>
        <v>TC-001</v>
      </c>
      <c r="C67" s="42" t="str">
        <f>IFERROR(IF(INDEX('8. Checklist'!$B$6:$B$265,MATCH(62,'8. Checklist'!$J$6:$J$265,0))="","",INDEX('8. Checklist'!$B$6:$B$265,MATCH(62,'8. Checklist'!$J$6:$J$265,0))),"")</f>
        <v>Training &amp; Competence</v>
      </c>
      <c r="D67" s="42" t="str">
        <f>IFERROR(IF(INDEX('8. Checklist'!$C$6:$C$265,MATCH(62,'8. Checklist'!$J$6:$J$265,0))="","",INDEX('8. Checklist'!$C$6:$C$265,MATCH(62,'8. Checklist'!$J$6:$J$265,0))),"")</f>
        <v>Define AI literacy requirements per role</v>
      </c>
      <c r="E67" s="42" t="str">
        <f>IFERROR(IF(INDEX('8. Checklist'!$F$6:$F$265,MATCH(62,'8. Checklist'!$J$6:$J$265,0))="","",INDEX('8. Checklist'!$F$6:$F$265,MATCH(62,'8. Checklist'!$J$6:$J$265,0))),"")</f>
        <v/>
      </c>
      <c r="F67" s="69" t="str">
        <f>IFERROR(IF(INDEX('8. Checklist'!$G$6:$G$265,MATCH(62,'8. Checklist'!$J$6:$J$265,0))="","",INDEX('8. Checklist'!$G$6:$G$265,MATCH(62,'8. Checklist'!$J$6:$J$265,0))),"")</f>
        <v/>
      </c>
      <c r="G67" s="42" t="str">
        <f>IFERROR(IF(INDEX('8. Checklist'!$E$6:$E$265,MATCH(62,'8. Checklist'!$J$6:$J$265,0))="","",INDEX('8. Checklist'!$E$6:$E$265,MATCH(62,'8. Checklist'!$J$6:$J$265,0))),"")</f>
        <v>Not Started</v>
      </c>
    </row>
    <row r="68" spans="1:7" x14ac:dyDescent="0.45">
      <c r="A68" s="66">
        <f>IF(COUNT('8. Checklist'!$J$6:$J$265)&lt;63,"",63)</f>
        <v>63</v>
      </c>
      <c r="B68" s="48" t="str">
        <f>IFERROR(IF(INDEX('8. Checklist'!$A$6:$A$265,MATCH(63,'8. Checklist'!$J$6:$J$265,0))="","",INDEX('8. Checklist'!$A$6:$A$265,MATCH(63,'8. Checklist'!$J$6:$J$265,0))),"")</f>
        <v>TC-002</v>
      </c>
      <c r="C68" s="48" t="str">
        <f>IFERROR(IF(INDEX('8. Checklist'!$B$6:$B$265,MATCH(63,'8. Checklist'!$J$6:$J$265,0))="","",INDEX('8. Checklist'!$B$6:$B$265,MATCH(63,'8. Checklist'!$J$6:$J$265,0))),"")</f>
        <v>Training &amp; Competence</v>
      </c>
      <c r="D68" s="48" t="str">
        <f>IFERROR(IF(INDEX('8. Checklist'!$C$6:$C$265,MATCH(63,'8. Checklist'!$J$6:$J$265,0))="","",INDEX('8. Checklist'!$C$6:$C$265,MATCH(63,'8. Checklist'!$J$6:$J$265,0))),"")</f>
        <v>Deliver AI literacy training to relevant staff</v>
      </c>
      <c r="E68" s="48" t="str">
        <f>IFERROR(IF(INDEX('8. Checklist'!$F$6:$F$265,MATCH(63,'8. Checklist'!$J$6:$J$265,0))="","",INDEX('8. Checklist'!$F$6:$F$265,MATCH(63,'8. Checklist'!$J$6:$J$265,0))),"")</f>
        <v/>
      </c>
      <c r="F68" s="67" t="str">
        <f>IFERROR(IF(INDEX('8. Checklist'!$G$6:$G$265,MATCH(63,'8. Checklist'!$J$6:$J$265,0))="","",INDEX('8. Checklist'!$G$6:$G$265,MATCH(63,'8. Checklist'!$J$6:$J$265,0))),"")</f>
        <v/>
      </c>
      <c r="G68" s="48" t="str">
        <f>IFERROR(IF(INDEX('8. Checklist'!$E$6:$E$265,MATCH(63,'8. Checklist'!$J$6:$J$265,0))="","",INDEX('8. Checklist'!$E$6:$E$265,MATCH(63,'8. Checklist'!$J$6:$J$265,0))),"")</f>
        <v>Not Started</v>
      </c>
    </row>
    <row r="69" spans="1:7" x14ac:dyDescent="0.45">
      <c r="A69" s="68">
        <f>IF(COUNT('8. Checklist'!$J$6:$J$265)&lt;64,"",64)</f>
        <v>64</v>
      </c>
      <c r="B69" s="42" t="str">
        <f>IFERROR(IF(INDEX('8. Checklist'!$A$6:$A$265,MATCH(64,'8. Checklist'!$J$6:$J$265,0))="","",INDEX('8. Checklist'!$A$6:$A$265,MATCH(64,'8. Checklist'!$J$6:$J$265,0))),"")</f>
        <v>TC-007</v>
      </c>
      <c r="C69" s="42" t="str">
        <f>IFERROR(IF(INDEX('8. Checklist'!$B$6:$B$265,MATCH(64,'8. Checklist'!$J$6:$J$265,0))="","",INDEX('8. Checklist'!$B$6:$B$265,MATCH(64,'8. Checklist'!$J$6:$J$265,0))),"")</f>
        <v>Training &amp; Competence</v>
      </c>
      <c r="D69" s="42" t="str">
        <f>IFERROR(IF(INDEX('8. Checklist'!$C$6:$C$265,MATCH(64,'8. Checklist'!$J$6:$J$265,0))="","",INDEX('8. Checklist'!$C$6:$C$265,MATCH(64,'8. Checklist'!$J$6:$J$265,0))),"")</f>
        <v>Maintain training and competence records</v>
      </c>
      <c r="E69" s="42" t="str">
        <f>IFERROR(IF(INDEX('8. Checklist'!$F$6:$F$265,MATCH(64,'8. Checklist'!$J$6:$J$265,0))="","",INDEX('8. Checklist'!$F$6:$F$265,MATCH(64,'8. Checklist'!$J$6:$J$265,0))),"")</f>
        <v/>
      </c>
      <c r="F69" s="69" t="str">
        <f>IFERROR(IF(INDEX('8. Checklist'!$G$6:$G$265,MATCH(64,'8. Checklist'!$J$6:$J$265,0))="","",INDEX('8. Checklist'!$G$6:$G$265,MATCH(64,'8. Checklist'!$J$6:$J$265,0))),"")</f>
        <v/>
      </c>
      <c r="G69" s="42" t="str">
        <f>IFERROR(IF(INDEX('8. Checklist'!$E$6:$E$265,MATCH(64,'8. Checklist'!$J$6:$J$265,0))="","",INDEX('8. Checklist'!$E$6:$E$265,MATCH(64,'8. Checklist'!$J$6:$J$265,0))),"")</f>
        <v>Not Started</v>
      </c>
    </row>
    <row r="70" spans="1:7" x14ac:dyDescent="0.45">
      <c r="A70" s="66">
        <f>IF(COUNT('8. Checklist'!$J$6:$J$265)&lt;65,"",65)</f>
        <v>65</v>
      </c>
      <c r="B70" s="48" t="str">
        <f>IFERROR(IF(INDEX('8. Checklist'!$A$6:$A$265,MATCH(65,'8. Checklist'!$J$6:$J$265,0))="","",INDEX('8. Checklist'!$A$6:$A$265,MATCH(65,'8. Checklist'!$J$6:$J$265,0))),"")</f>
        <v>IC-001</v>
      </c>
      <c r="C70" s="48" t="str">
        <f>IFERROR(IF(INDEX('8. Checklist'!$B$6:$B$265,MATCH(65,'8. Checklist'!$J$6:$J$265,0))="","",INDEX('8. Checklist'!$B$6:$B$265,MATCH(65,'8. Checklist'!$J$6:$J$265,0))),"")</f>
        <v>Incident &amp; Continuity</v>
      </c>
      <c r="D70" s="48" t="str">
        <f>IFERROR(IF(INDEX('8. Checklist'!$C$6:$C$265,MATCH(65,'8. Checklist'!$J$6:$J$265,0))="","",INDEX('8. Checklist'!$C$6:$C$265,MATCH(65,'8. Checklist'!$J$6:$J$265,0))),"")</f>
        <v>Define AI-specific incident response procedures</v>
      </c>
      <c r="E70" s="48" t="str">
        <f>IFERROR(IF(INDEX('8. Checklist'!$F$6:$F$265,MATCH(65,'8. Checklist'!$J$6:$J$265,0))="","",INDEX('8. Checklist'!$F$6:$F$265,MATCH(65,'8. Checklist'!$J$6:$J$265,0))),"")</f>
        <v/>
      </c>
      <c r="F70" s="67" t="str">
        <f>IFERROR(IF(INDEX('8. Checklist'!$G$6:$G$265,MATCH(65,'8. Checklist'!$J$6:$J$265,0))="","",INDEX('8. Checklist'!$G$6:$G$265,MATCH(65,'8. Checklist'!$J$6:$J$265,0))),"")</f>
        <v/>
      </c>
      <c r="G70" s="48" t="str">
        <f>IFERROR(IF(INDEX('8. Checklist'!$E$6:$E$265,MATCH(65,'8. Checklist'!$J$6:$J$265,0))="","",INDEX('8. Checklist'!$E$6:$E$265,MATCH(65,'8. Checklist'!$J$6:$J$265,0))),"")</f>
        <v>Not Started</v>
      </c>
    </row>
    <row r="71" spans="1:7" x14ac:dyDescent="0.45">
      <c r="A71" s="68">
        <f>IF(COUNT('8. Checklist'!$J$6:$J$265)&lt;66,"",66)</f>
        <v>66</v>
      </c>
      <c r="B71" s="42" t="str">
        <f>IFERROR(IF(INDEX('8. Checklist'!$A$6:$A$265,MATCH(66,'8. Checklist'!$J$6:$J$265,0))="","",INDEX('8. Checklist'!$A$6:$A$265,MATCH(66,'8. Checklist'!$J$6:$J$265,0))),"")</f>
        <v>IC-002</v>
      </c>
      <c r="C71" s="42" t="str">
        <f>IFERROR(IF(INDEX('8. Checklist'!$B$6:$B$265,MATCH(66,'8. Checklist'!$J$6:$J$265,0))="","",INDEX('8. Checklist'!$B$6:$B$265,MATCH(66,'8. Checklist'!$J$6:$J$265,0))),"")</f>
        <v>Incident &amp; Continuity</v>
      </c>
      <c r="D71" s="42" t="str">
        <f>IFERROR(IF(INDEX('8. Checklist'!$C$6:$C$265,MATCH(66,'8. Checklist'!$J$6:$J$265,0))="","",INDEX('8. Checklist'!$C$6:$C$265,MATCH(66,'8. Checklist'!$J$6:$J$265,0))),"")</f>
        <v>Build playbooks for model poisoning, leakage, failure, rogue agent</v>
      </c>
      <c r="E71" s="42" t="str">
        <f>IFERROR(IF(INDEX('8. Checklist'!$F$6:$F$265,MATCH(66,'8. Checklist'!$J$6:$J$265,0))="","",INDEX('8. Checklist'!$F$6:$F$265,MATCH(66,'8. Checklist'!$J$6:$J$265,0))),"")</f>
        <v/>
      </c>
      <c r="F71" s="69" t="str">
        <f>IFERROR(IF(INDEX('8. Checklist'!$G$6:$G$265,MATCH(66,'8. Checklist'!$J$6:$J$265,0))="","",INDEX('8. Checklist'!$G$6:$G$265,MATCH(66,'8. Checklist'!$J$6:$J$265,0))),"")</f>
        <v/>
      </c>
      <c r="G71" s="42" t="str">
        <f>IFERROR(IF(INDEX('8. Checklist'!$E$6:$E$265,MATCH(66,'8. Checklist'!$J$6:$J$265,0))="","",INDEX('8. Checklist'!$E$6:$E$265,MATCH(66,'8. Checklist'!$J$6:$J$265,0))),"")</f>
        <v>Not Started</v>
      </c>
    </row>
    <row r="72" spans="1:7" x14ac:dyDescent="0.45">
      <c r="A72" s="66">
        <f>IF(COUNT('8. Checklist'!$J$6:$J$265)&lt;67,"",67)</f>
        <v>67</v>
      </c>
      <c r="B72" s="48" t="str">
        <f>IFERROR(IF(INDEX('8. Checklist'!$A$6:$A$265,MATCH(67,'8. Checklist'!$J$6:$J$265,0))="","",INDEX('8. Checklist'!$A$6:$A$265,MATCH(67,'8. Checklist'!$J$6:$J$265,0))),"")</f>
        <v>IC-004</v>
      </c>
      <c r="C72" s="48" t="str">
        <f>IFERROR(IF(INDEX('8. Checklist'!$B$6:$B$265,MATCH(67,'8. Checklist'!$J$6:$J$265,0))="","",INDEX('8. Checklist'!$B$6:$B$265,MATCH(67,'8. Checklist'!$J$6:$J$265,0))),"")</f>
        <v>Incident &amp; Continuity</v>
      </c>
      <c r="D72" s="48" t="str">
        <f>IFERROR(IF(INDEX('8. Checklist'!$C$6:$C$265,MATCH(67,'8. Checklist'!$J$6:$J$265,0))="","",INDEX('8. Checklist'!$C$6:$C$265,MATCH(67,'8. Checklist'!$J$6:$J$265,0))),"")</f>
        <v>Define serious-incident reporting to authorities</v>
      </c>
      <c r="E72" s="48" t="str">
        <f>IFERROR(IF(INDEX('8. Checklist'!$F$6:$F$265,MATCH(67,'8. Checklist'!$J$6:$J$265,0))="","",INDEX('8. Checklist'!$F$6:$F$265,MATCH(67,'8. Checklist'!$J$6:$J$265,0))),"")</f>
        <v/>
      </c>
      <c r="F72" s="67" t="str">
        <f>IFERROR(IF(INDEX('8. Checklist'!$G$6:$G$265,MATCH(67,'8. Checklist'!$J$6:$J$265,0))="","",INDEX('8. Checklist'!$G$6:$G$265,MATCH(67,'8. Checklist'!$J$6:$J$265,0))),"")</f>
        <v/>
      </c>
      <c r="G72" s="48" t="str">
        <f>IFERROR(IF(INDEX('8. Checklist'!$E$6:$E$265,MATCH(67,'8. Checklist'!$J$6:$J$265,0))="","",INDEX('8. Checklist'!$E$6:$E$265,MATCH(67,'8. Checklist'!$J$6:$J$265,0))),"")</f>
        <v>Not Started</v>
      </c>
    </row>
    <row r="73" spans="1:7" x14ac:dyDescent="0.45">
      <c r="A73" s="68">
        <f>IF(COUNT('8. Checklist'!$J$6:$J$265)&lt;68,"",68)</f>
        <v>68</v>
      </c>
      <c r="B73" s="42" t="str">
        <f>IFERROR(IF(INDEX('8. Checklist'!$A$6:$A$265,MATCH(68,'8. Checklist'!$J$6:$J$265,0))="","",INDEX('8. Checklist'!$A$6:$A$265,MATCH(68,'8. Checklist'!$J$6:$J$265,0))),"")</f>
        <v>IC-008</v>
      </c>
      <c r="C73" s="42" t="str">
        <f>IFERROR(IF(INDEX('8. Checklist'!$B$6:$B$265,MATCH(68,'8. Checklist'!$J$6:$J$265,0))="","",INDEX('8. Checklist'!$B$6:$B$265,MATCH(68,'8. Checklist'!$J$6:$J$265,0))),"")</f>
        <v>Incident &amp; Continuity</v>
      </c>
      <c r="D73" s="42" t="str">
        <f>IFERROR(IF(INDEX('8. Checklist'!$C$6:$C$265,MATCH(68,'8. Checklist'!$J$6:$J$265,0))="","",INDEX('8. Checklist'!$C$6:$C$265,MATCH(68,'8. Checklist'!$J$6:$J$265,0))),"")</f>
        <v>Define kill-switch and rollback procedures</v>
      </c>
      <c r="E73" s="42" t="str">
        <f>IFERROR(IF(INDEX('8. Checklist'!$F$6:$F$265,MATCH(68,'8. Checklist'!$J$6:$J$265,0))="","",INDEX('8. Checklist'!$F$6:$F$265,MATCH(68,'8. Checklist'!$J$6:$J$265,0))),"")</f>
        <v/>
      </c>
      <c r="F73" s="69" t="str">
        <f>IFERROR(IF(INDEX('8. Checklist'!$G$6:$G$265,MATCH(68,'8. Checklist'!$J$6:$J$265,0))="","",INDEX('8. Checklist'!$G$6:$G$265,MATCH(68,'8. Checklist'!$J$6:$J$265,0))),"")</f>
        <v/>
      </c>
      <c r="G73" s="42" t="str">
        <f>IFERROR(IF(INDEX('8. Checklist'!$E$6:$E$265,MATCH(68,'8. Checklist'!$J$6:$J$265,0))="","",INDEX('8. Checklist'!$E$6:$E$265,MATCH(68,'8. Checklist'!$J$6:$J$265,0))),"")</f>
        <v>Not Started</v>
      </c>
    </row>
    <row r="74" spans="1:7" x14ac:dyDescent="0.45">
      <c r="A74" s="66">
        <f>IF(COUNT('8. Checklist'!$J$6:$J$265)&lt;69,"",69)</f>
        <v>69</v>
      </c>
      <c r="B74" s="48" t="str">
        <f>IFERROR(IF(INDEX('8. Checklist'!$A$6:$A$265,MATCH(69,'8. Checklist'!$J$6:$J$265,0))="","",INDEX('8. Checklist'!$A$6:$A$265,MATCH(69,'8. Checklist'!$J$6:$J$265,0))),"")</f>
        <v>IC-013</v>
      </c>
      <c r="C74" s="48" t="str">
        <f>IFERROR(IF(INDEX('8. Checklist'!$B$6:$B$265,MATCH(69,'8. Checklist'!$J$6:$J$265,0))="","",INDEX('8. Checklist'!$B$6:$B$265,MATCH(69,'8. Checklist'!$J$6:$J$265,0))),"")</f>
        <v>Incident &amp; Continuity</v>
      </c>
      <c r="D74" s="48" t="str">
        <f>IFERROR(IF(INDEX('8. Checklist'!$C$6:$C$265,MATCH(69,'8. Checklist'!$J$6:$J$265,0))="","",INDEX('8. Checklist'!$C$6:$C$265,MATCH(69,'8. Checklist'!$J$6:$J$265,0))),"")</f>
        <v>Maintain an incident log as evidence</v>
      </c>
      <c r="E74" s="48" t="str">
        <f>IFERROR(IF(INDEX('8. Checklist'!$F$6:$F$265,MATCH(69,'8. Checklist'!$J$6:$J$265,0))="","",INDEX('8. Checklist'!$F$6:$F$265,MATCH(69,'8. Checklist'!$J$6:$J$265,0))),"")</f>
        <v/>
      </c>
      <c r="F74" s="67" t="str">
        <f>IFERROR(IF(INDEX('8. Checklist'!$G$6:$G$265,MATCH(69,'8. Checklist'!$J$6:$J$265,0))="","",INDEX('8. Checklist'!$G$6:$G$265,MATCH(69,'8. Checklist'!$J$6:$J$265,0))),"")</f>
        <v/>
      </c>
      <c r="G74" s="48" t="str">
        <f>IFERROR(IF(INDEX('8. Checklist'!$E$6:$E$265,MATCH(69,'8. Checklist'!$J$6:$J$265,0))="","",INDEX('8. Checklist'!$E$6:$E$265,MATCH(69,'8. Checklist'!$J$6:$J$265,0))),"")</f>
        <v>Not Started</v>
      </c>
    </row>
    <row r="75" spans="1:7" x14ac:dyDescent="0.45">
      <c r="A75" s="68">
        <f>IF(COUNT('8. Checklist'!$J$6:$J$265)&lt;70,"",70)</f>
        <v>70</v>
      </c>
      <c r="B75" s="42" t="str">
        <f>IFERROR(IF(INDEX('8. Checklist'!$A$6:$A$265,MATCH(70,'8. Checklist'!$J$6:$J$265,0))="","",INDEX('8. Checklist'!$A$6:$A$265,MATCH(70,'8. Checklist'!$J$6:$J$265,0))),"")</f>
        <v>TE-001</v>
      </c>
      <c r="C75" s="42" t="str">
        <f>IFERROR(IF(INDEX('8. Checklist'!$B$6:$B$265,MATCH(70,'8. Checklist'!$J$6:$J$265,0))="","",INDEX('8. Checklist'!$B$6:$B$265,MATCH(70,'8. Checklist'!$J$6:$J$265,0))),"")</f>
        <v>Transparency &amp; Explainability</v>
      </c>
      <c r="D75" s="42" t="str">
        <f>IFERROR(IF(INDEX('8. Checklist'!$C$6:$C$265,MATCH(70,'8. Checklist'!$J$6:$J$265,0))="","",INDEX('8. Checklist'!$C$6:$C$265,MATCH(70,'8. Checklist'!$J$6:$J$265,0))),"")</f>
        <v>Implement AI-interaction disclosure (chatbots)</v>
      </c>
      <c r="E75" s="42" t="str">
        <f>IFERROR(IF(INDEX('8. Checklist'!$F$6:$F$265,MATCH(70,'8. Checklist'!$J$6:$J$265,0))="","",INDEX('8. Checklist'!$F$6:$F$265,MATCH(70,'8. Checklist'!$J$6:$J$265,0))),"")</f>
        <v/>
      </c>
      <c r="F75" s="69" t="str">
        <f>IFERROR(IF(INDEX('8. Checklist'!$G$6:$G$265,MATCH(70,'8. Checklist'!$J$6:$J$265,0))="","",INDEX('8. Checklist'!$G$6:$G$265,MATCH(70,'8. Checklist'!$J$6:$J$265,0))),"")</f>
        <v/>
      </c>
      <c r="G75" s="42" t="str">
        <f>IFERROR(IF(INDEX('8. Checklist'!$E$6:$E$265,MATCH(70,'8. Checklist'!$J$6:$J$265,0))="","",INDEX('8. Checklist'!$E$6:$E$265,MATCH(70,'8. Checklist'!$J$6:$J$265,0))),"")</f>
        <v>Not Started</v>
      </c>
    </row>
    <row r="76" spans="1:7" x14ac:dyDescent="0.45">
      <c r="A76" s="66">
        <f>IF(COUNT('8. Checklist'!$J$6:$J$265)&lt;71,"",71)</f>
        <v>71</v>
      </c>
      <c r="B76" s="48" t="str">
        <f>IFERROR(IF(INDEX('8. Checklist'!$A$6:$A$265,MATCH(71,'8. Checklist'!$J$6:$J$265,0))="","",INDEX('8. Checklist'!$A$6:$A$265,MATCH(71,'8. Checklist'!$J$6:$J$265,0))),"")</f>
        <v>TE-002</v>
      </c>
      <c r="C76" s="48" t="str">
        <f>IFERROR(IF(INDEX('8. Checklist'!$B$6:$B$265,MATCH(71,'8. Checklist'!$J$6:$J$265,0))="","",INDEX('8. Checklist'!$B$6:$B$265,MATCH(71,'8. Checklist'!$J$6:$J$265,0))),"")</f>
        <v>Transparency &amp; Explainability</v>
      </c>
      <c r="D76" s="48" t="str">
        <f>IFERROR(IF(INDEX('8. Checklist'!$C$6:$C$265,MATCH(71,'8. Checklist'!$J$6:$J$265,0))="","",INDEX('8. Checklist'!$C$6:$C$265,MATCH(71,'8. Checklist'!$J$6:$J$265,0))),"")</f>
        <v>Implement AI-generated content labelling</v>
      </c>
      <c r="E76" s="48" t="str">
        <f>IFERROR(IF(INDEX('8. Checklist'!$F$6:$F$265,MATCH(71,'8. Checklist'!$J$6:$J$265,0))="","",INDEX('8. Checklist'!$F$6:$F$265,MATCH(71,'8. Checklist'!$J$6:$J$265,0))),"")</f>
        <v/>
      </c>
      <c r="F76" s="67" t="str">
        <f>IFERROR(IF(INDEX('8. Checklist'!$G$6:$G$265,MATCH(71,'8. Checklist'!$J$6:$J$265,0))="","",INDEX('8. Checklist'!$G$6:$G$265,MATCH(71,'8. Checklist'!$J$6:$J$265,0))),"")</f>
        <v/>
      </c>
      <c r="G76" s="48" t="str">
        <f>IFERROR(IF(INDEX('8. Checklist'!$E$6:$E$265,MATCH(71,'8. Checklist'!$J$6:$J$265,0))="","",INDEX('8. Checklist'!$E$6:$E$265,MATCH(71,'8. Checklist'!$J$6:$J$265,0))),"")</f>
        <v>Not Started</v>
      </c>
    </row>
    <row r="77" spans="1:7" x14ac:dyDescent="0.45">
      <c r="A77" s="68">
        <f>IF(COUNT('8. Checklist'!$J$6:$J$265)&lt;72,"",72)</f>
        <v>72</v>
      </c>
      <c r="B77" s="42" t="str">
        <f>IFERROR(IF(INDEX('8. Checklist'!$A$6:$A$265,MATCH(72,'8. Checklist'!$J$6:$J$265,0))="","",INDEX('8. Checklist'!$A$6:$A$265,MATCH(72,'8. Checklist'!$J$6:$J$265,0))),"")</f>
        <v>FMA-001</v>
      </c>
      <c r="C77" s="42" t="str">
        <f>IFERROR(IF(INDEX('8. Checklist'!$B$6:$B$265,MATCH(72,'8. Checklist'!$J$6:$J$265,0))="","",INDEX('8. Checklist'!$B$6:$B$265,MATCH(72,'8. Checklist'!$J$6:$J$265,0))),"")</f>
        <v>Foundation Models &amp; Agentic AI</v>
      </c>
      <c r="D77" s="42" t="str">
        <f>IFERROR(IF(INDEX('8. Checklist'!$C$6:$C$265,MATCH(72,'8. Checklist'!$J$6:$J$265,0))="","",INDEX('8. Checklist'!$C$6:$C$265,MATCH(72,'8. Checklist'!$J$6:$J$265,0))),"")</f>
        <v>Inventory foundation/GPAI models in use</v>
      </c>
      <c r="E77" s="42" t="str">
        <f>IFERROR(IF(INDEX('8. Checklist'!$F$6:$F$265,MATCH(72,'8. Checklist'!$J$6:$J$265,0))="","",INDEX('8. Checklist'!$F$6:$F$265,MATCH(72,'8. Checklist'!$J$6:$J$265,0))),"")</f>
        <v/>
      </c>
      <c r="F77" s="69" t="str">
        <f>IFERROR(IF(INDEX('8. Checklist'!$G$6:$G$265,MATCH(72,'8. Checklist'!$J$6:$J$265,0))="","",INDEX('8. Checklist'!$G$6:$G$265,MATCH(72,'8. Checklist'!$J$6:$J$265,0))),"")</f>
        <v/>
      </c>
      <c r="G77" s="42" t="str">
        <f>IFERROR(IF(INDEX('8. Checklist'!$E$6:$E$265,MATCH(72,'8. Checklist'!$J$6:$J$265,0))="","",INDEX('8. Checklist'!$E$6:$E$265,MATCH(72,'8. Checklist'!$J$6:$J$265,0))),"")</f>
        <v>Not Started</v>
      </c>
    </row>
    <row r="78" spans="1:7" x14ac:dyDescent="0.45">
      <c r="A78" s="66">
        <f>IF(COUNT('8. Checklist'!$J$6:$J$265)&lt;73,"",73)</f>
        <v>73</v>
      </c>
      <c r="B78" s="48" t="str">
        <f>IFERROR(IF(INDEX('8. Checklist'!$A$6:$A$265,MATCH(73,'8. Checklist'!$J$6:$J$265,0))="","",INDEX('8. Checklist'!$A$6:$A$265,MATCH(73,'8. Checklist'!$J$6:$J$265,0))),"")</f>
        <v>FMA-005</v>
      </c>
      <c r="C78" s="48" t="str">
        <f>IFERROR(IF(INDEX('8. Checklist'!$B$6:$B$265,MATCH(73,'8. Checklist'!$J$6:$J$265,0))="","",INDEX('8. Checklist'!$B$6:$B$265,MATCH(73,'8. Checklist'!$J$6:$J$265,0))),"")</f>
        <v>Foundation Models &amp; Agentic AI</v>
      </c>
      <c r="D78" s="48" t="str">
        <f>IFERROR(IF(INDEX('8. Checklist'!$C$6:$C$265,MATCH(73,'8. Checklist'!$J$6:$J$265,0))="","",INDEX('8. Checklist'!$C$6:$C$265,MATCH(73,'8. Checklist'!$J$6:$J$265,0))),"")</f>
        <v>Inventory agentic AI systems</v>
      </c>
      <c r="E78" s="48" t="str">
        <f>IFERROR(IF(INDEX('8. Checklist'!$F$6:$F$265,MATCH(73,'8. Checklist'!$J$6:$J$265,0))="","",INDEX('8. Checklist'!$F$6:$F$265,MATCH(73,'8. Checklist'!$J$6:$J$265,0))),"")</f>
        <v/>
      </c>
      <c r="F78" s="67" t="str">
        <f>IFERROR(IF(INDEX('8. Checklist'!$G$6:$G$265,MATCH(73,'8. Checklist'!$J$6:$J$265,0))="","",INDEX('8. Checklist'!$G$6:$G$265,MATCH(73,'8. Checklist'!$J$6:$J$265,0))),"")</f>
        <v/>
      </c>
      <c r="G78" s="48" t="str">
        <f>IFERROR(IF(INDEX('8. Checklist'!$E$6:$E$265,MATCH(73,'8. Checklist'!$J$6:$J$265,0))="","",INDEX('8. Checklist'!$E$6:$E$265,MATCH(73,'8. Checklist'!$J$6:$J$265,0))),"")</f>
        <v>Not Started</v>
      </c>
    </row>
    <row r="79" spans="1:7" x14ac:dyDescent="0.45">
      <c r="A79" s="68">
        <f>IF(COUNT('8. Checklist'!$J$6:$J$265)&lt;74,"",74)</f>
        <v>74</v>
      </c>
      <c r="B79" s="42" t="str">
        <f>IFERROR(IF(INDEX('8. Checklist'!$A$6:$A$265,MATCH(74,'8. Checklist'!$J$6:$J$265,0))="","",INDEX('8. Checklist'!$A$6:$A$265,MATCH(74,'8. Checklist'!$J$6:$J$265,0))),"")</f>
        <v>FMA-006</v>
      </c>
      <c r="C79" s="42" t="str">
        <f>IFERROR(IF(INDEX('8. Checklist'!$B$6:$B$265,MATCH(74,'8. Checklist'!$J$6:$J$265,0))="","",INDEX('8. Checklist'!$B$6:$B$265,MATCH(74,'8. Checklist'!$J$6:$J$265,0))),"")</f>
        <v>Foundation Models &amp; Agentic AI</v>
      </c>
      <c r="D79" s="42" t="str">
        <f>IFERROR(IF(INDEX('8. Checklist'!$C$6:$C$265,MATCH(74,'8. Checklist'!$J$6:$J$265,0))="","",INDEX('8. Checklist'!$C$6:$C$265,MATCH(74,'8. Checklist'!$J$6:$J$265,0))),"")</f>
        <v>Apply agent identity and authorization controls</v>
      </c>
      <c r="E79" s="42" t="str">
        <f>IFERROR(IF(INDEX('8. Checklist'!$F$6:$F$265,MATCH(74,'8. Checklist'!$J$6:$J$265,0))="","",INDEX('8. Checklist'!$F$6:$F$265,MATCH(74,'8. Checklist'!$J$6:$J$265,0))),"")</f>
        <v/>
      </c>
      <c r="F79" s="69" t="str">
        <f>IFERROR(IF(INDEX('8. Checklist'!$G$6:$G$265,MATCH(74,'8. Checklist'!$J$6:$J$265,0))="","",INDEX('8. Checklist'!$G$6:$G$265,MATCH(74,'8. Checklist'!$J$6:$J$265,0))),"")</f>
        <v/>
      </c>
      <c r="G79" s="42" t="str">
        <f>IFERROR(IF(INDEX('8. Checklist'!$E$6:$E$265,MATCH(74,'8. Checklist'!$J$6:$J$265,0))="","",INDEX('8. Checklist'!$E$6:$E$265,MATCH(74,'8. Checklist'!$J$6:$J$265,0))),"")</f>
        <v>Not Started</v>
      </c>
    </row>
    <row r="80" spans="1:7" x14ac:dyDescent="0.45">
      <c r="A80" s="66">
        <f>IF(COUNT('8. Checklist'!$J$6:$J$265)&lt;75,"",75)</f>
        <v>75</v>
      </c>
      <c r="B80" s="48" t="str">
        <f>IFERROR(IF(INDEX('8. Checklist'!$A$6:$A$265,MATCH(75,'8. Checklist'!$J$6:$J$265,0))="","",INDEX('8. Checklist'!$A$6:$A$265,MATCH(75,'8. Checklist'!$J$6:$J$265,0))),"")</f>
        <v>FMA-007</v>
      </c>
      <c r="C80" s="48" t="str">
        <f>IFERROR(IF(INDEX('8. Checklist'!$B$6:$B$265,MATCH(75,'8. Checklist'!$J$6:$J$265,0))="","",INDEX('8. Checklist'!$B$6:$B$265,MATCH(75,'8. Checklist'!$J$6:$J$265,0))),"")</f>
        <v>Foundation Models &amp; Agentic AI</v>
      </c>
      <c r="D80" s="48" t="str">
        <f>IFERROR(IF(INDEX('8. Checklist'!$C$6:$C$265,MATCH(75,'8. Checklist'!$J$6:$J$265,0))="","",INDEX('8. Checklist'!$C$6:$C$265,MATCH(75,'8. Checklist'!$J$6:$J$265,0))),"")</f>
        <v>Apply least-privilege and tool scoping to agents</v>
      </c>
      <c r="E80" s="48" t="str">
        <f>IFERROR(IF(INDEX('8. Checklist'!$F$6:$F$265,MATCH(75,'8. Checklist'!$J$6:$J$265,0))="","",INDEX('8. Checklist'!$F$6:$F$265,MATCH(75,'8. Checklist'!$J$6:$J$265,0))),"")</f>
        <v/>
      </c>
      <c r="F80" s="67" t="str">
        <f>IFERROR(IF(INDEX('8. Checklist'!$G$6:$G$265,MATCH(75,'8. Checklist'!$J$6:$J$265,0))="","",INDEX('8. Checklist'!$G$6:$G$265,MATCH(75,'8. Checklist'!$J$6:$J$265,0))),"")</f>
        <v/>
      </c>
      <c r="G80" s="48" t="str">
        <f>IFERROR(IF(INDEX('8. Checklist'!$E$6:$E$265,MATCH(75,'8. Checklist'!$J$6:$J$265,0))="","",INDEX('8. Checklist'!$E$6:$E$265,MATCH(75,'8. Checklist'!$J$6:$J$265,0))),"")</f>
        <v>Not Started</v>
      </c>
    </row>
    <row r="81" spans="1:7" x14ac:dyDescent="0.45">
      <c r="A81" s="68">
        <f>IF(COUNT('8. Checklist'!$J$6:$J$265)&lt;76,"",76)</f>
        <v>76</v>
      </c>
      <c r="B81" s="42" t="str">
        <f>IFERROR(IF(INDEX('8. Checklist'!$A$6:$A$265,MATCH(76,'8. Checklist'!$J$6:$J$265,0))="","",INDEX('8. Checklist'!$A$6:$A$265,MATCH(76,'8. Checklist'!$J$6:$J$265,0))),"")</f>
        <v>FMA-008</v>
      </c>
      <c r="C81" s="42" t="str">
        <f>IFERROR(IF(INDEX('8. Checklist'!$B$6:$B$265,MATCH(76,'8. Checklist'!$J$6:$J$265,0))="","",INDEX('8. Checklist'!$B$6:$B$265,MATCH(76,'8. Checklist'!$J$6:$J$265,0))),"")</f>
        <v>Foundation Models &amp; Agentic AI</v>
      </c>
      <c r="D81" s="42" t="str">
        <f>IFERROR(IF(INDEX('8. Checklist'!$C$6:$C$265,MATCH(76,'8. Checklist'!$J$6:$J$265,0))="","",INDEX('8. Checklist'!$C$6:$C$265,MATCH(76,'8. Checklist'!$J$6:$J$265,0))),"")</f>
        <v>Apply human oversight to agent actions</v>
      </c>
      <c r="E81" s="42" t="str">
        <f>IFERROR(IF(INDEX('8. Checklist'!$F$6:$F$265,MATCH(76,'8. Checklist'!$J$6:$J$265,0))="","",INDEX('8. Checklist'!$F$6:$F$265,MATCH(76,'8. Checklist'!$J$6:$J$265,0))),"")</f>
        <v/>
      </c>
      <c r="F81" s="69" t="str">
        <f>IFERROR(IF(INDEX('8. Checklist'!$G$6:$G$265,MATCH(76,'8. Checklist'!$J$6:$J$265,0))="","",INDEX('8. Checklist'!$G$6:$G$265,MATCH(76,'8. Checklist'!$J$6:$J$265,0))),"")</f>
        <v/>
      </c>
      <c r="G81" s="42" t="str">
        <f>IFERROR(IF(INDEX('8. Checklist'!$E$6:$E$265,MATCH(76,'8. Checklist'!$J$6:$J$265,0))="","",INDEX('8. Checklist'!$E$6:$E$265,MATCH(76,'8. Checklist'!$J$6:$J$265,0))),"")</f>
        <v>Not Started</v>
      </c>
    </row>
    <row r="82" spans="1:7" x14ac:dyDescent="0.45">
      <c r="A82" s="66">
        <f>IF(COUNT('8. Checklist'!$J$6:$J$265)&lt;77,"",77)</f>
        <v>77</v>
      </c>
      <c r="B82" s="48" t="str">
        <f>IFERROR(IF(INDEX('8. Checklist'!$A$6:$A$265,MATCH(77,'8. Checklist'!$J$6:$J$265,0))="","",INDEX('8. Checklist'!$A$6:$A$265,MATCH(77,'8. Checklist'!$J$6:$J$265,0))),"")</f>
        <v>FMA-009</v>
      </c>
      <c r="C82" s="48" t="str">
        <f>IFERROR(IF(INDEX('8. Checklist'!$B$6:$B$265,MATCH(77,'8. Checklist'!$J$6:$J$265,0))="","",INDEX('8. Checklist'!$B$6:$B$265,MATCH(77,'8. Checklist'!$J$6:$J$265,0))),"")</f>
        <v>Foundation Models &amp; Agentic AI</v>
      </c>
      <c r="D82" s="48" t="str">
        <f>IFERROR(IF(INDEX('8. Checklist'!$C$6:$C$265,MATCH(77,'8. Checklist'!$J$6:$J$265,0))="","",INDEX('8. Checklist'!$C$6:$C$265,MATCH(77,'8. Checklist'!$J$6:$J$265,0))),"")</f>
        <v>Implement agent containment and kill-switch</v>
      </c>
      <c r="E82" s="48" t="str">
        <f>IFERROR(IF(INDEX('8. Checklist'!$F$6:$F$265,MATCH(77,'8. Checklist'!$J$6:$J$265,0))="","",INDEX('8. Checklist'!$F$6:$F$265,MATCH(77,'8. Checklist'!$J$6:$J$265,0))),"")</f>
        <v/>
      </c>
      <c r="F82" s="67" t="str">
        <f>IFERROR(IF(INDEX('8. Checklist'!$G$6:$G$265,MATCH(77,'8. Checklist'!$J$6:$J$265,0))="","",INDEX('8. Checklist'!$G$6:$G$265,MATCH(77,'8. Checklist'!$J$6:$J$265,0))),"")</f>
        <v/>
      </c>
      <c r="G82" s="48" t="str">
        <f>IFERROR(IF(INDEX('8. Checklist'!$E$6:$E$265,MATCH(77,'8. Checklist'!$J$6:$J$265,0))="","",INDEX('8. Checklist'!$E$6:$E$265,MATCH(77,'8. Checklist'!$J$6:$J$265,0))),"")</f>
        <v>Not Started</v>
      </c>
    </row>
    <row r="83" spans="1:7" ht="23.25" x14ac:dyDescent="0.45">
      <c r="A83" s="68">
        <f>IF(COUNT('8. Checklist'!$J$6:$J$265)&lt;78,"",78)</f>
        <v>78</v>
      </c>
      <c r="B83" s="42" t="str">
        <f>IFERROR(IF(INDEX('8. Checklist'!$A$6:$A$265,MATCH(78,'8. Checklist'!$J$6:$J$265,0))="","",INDEX('8. Checklist'!$A$6:$A$265,MATCH(78,'8. Checklist'!$J$6:$J$265,0))),"")</f>
        <v>PF-001</v>
      </c>
      <c r="C83" s="42" t="str">
        <f>IFERROR(IF(INDEX('8. Checklist'!$B$6:$B$265,MATCH(78,'8. Checklist'!$J$6:$J$265,0))="","",INDEX('8. Checklist'!$B$6:$B$265,MATCH(78,'8. Checklist'!$J$6:$J$265,0))),"")</f>
        <v>Program Foundations (cross-cutting)</v>
      </c>
      <c r="D83" s="42" t="str">
        <f>IFERROR(IF(INDEX('8. Checklist'!$C$6:$C$265,MATCH(78,'8. Checklist'!$J$6:$J$265,0))="","",INDEX('8. Checklist'!$C$6:$C$265,MATCH(78,'8. Checklist'!$J$6:$J$265,0))),"")</f>
        <v>Complete an initial AI system discovery sweep</v>
      </c>
      <c r="E83" s="42" t="str">
        <f>IFERROR(IF(INDEX('8. Checklist'!$F$6:$F$265,MATCH(78,'8. Checklist'!$J$6:$J$265,0))="","",INDEX('8. Checklist'!$F$6:$F$265,MATCH(78,'8. Checklist'!$J$6:$J$265,0))),"")</f>
        <v/>
      </c>
      <c r="F83" s="69" t="str">
        <f>IFERROR(IF(INDEX('8. Checklist'!$G$6:$G$265,MATCH(78,'8. Checklist'!$J$6:$J$265,0))="","",INDEX('8. Checklist'!$G$6:$G$265,MATCH(78,'8. Checklist'!$J$6:$J$265,0))),"")</f>
        <v/>
      </c>
      <c r="G83" s="42" t="str">
        <f>IFERROR(IF(INDEX('8. Checklist'!$E$6:$E$265,MATCH(78,'8. Checklist'!$J$6:$J$265,0))="","",INDEX('8. Checklist'!$E$6:$E$265,MATCH(78,'8. Checklist'!$J$6:$J$265,0))),"")</f>
        <v>Not Started</v>
      </c>
    </row>
    <row r="84" spans="1:7" ht="23.25" x14ac:dyDescent="0.45">
      <c r="A84" s="66">
        <f>IF(COUNT('8. Checklist'!$J$6:$J$265)&lt;79,"",79)</f>
        <v>79</v>
      </c>
      <c r="B84" s="48" t="str">
        <f>IFERROR(IF(INDEX('8. Checklist'!$A$6:$A$265,MATCH(79,'8. Checklist'!$J$6:$J$265,0))="","",INDEX('8. Checklist'!$A$6:$A$265,MATCH(79,'8. Checklist'!$J$6:$J$265,0))),"")</f>
        <v>PF-002</v>
      </c>
      <c r="C84" s="48" t="str">
        <f>IFERROR(IF(INDEX('8. Checklist'!$B$6:$B$265,MATCH(79,'8. Checklist'!$J$6:$J$265,0))="","",INDEX('8. Checklist'!$B$6:$B$265,MATCH(79,'8. Checklist'!$J$6:$J$265,0))),"")</f>
        <v>Program Foundations (cross-cutting)</v>
      </c>
      <c r="D84" s="48" t="str">
        <f>IFERROR(IF(INDEX('8. Checklist'!$C$6:$C$265,MATCH(79,'8. Checklist'!$J$6:$J$265,0))="","",INDEX('8. Checklist'!$C$6:$C$265,MATCH(79,'8. Checklist'!$J$6:$J$265,0))),"")</f>
        <v>Identify and register shadow AI</v>
      </c>
      <c r="E84" s="48" t="str">
        <f>IFERROR(IF(INDEX('8. Checklist'!$F$6:$F$265,MATCH(79,'8. Checklist'!$J$6:$J$265,0))="","",INDEX('8. Checklist'!$F$6:$F$265,MATCH(79,'8. Checklist'!$J$6:$J$265,0))),"")</f>
        <v/>
      </c>
      <c r="F84" s="67" t="str">
        <f>IFERROR(IF(INDEX('8. Checklist'!$G$6:$G$265,MATCH(79,'8. Checklist'!$J$6:$J$265,0))="","",INDEX('8. Checklist'!$G$6:$G$265,MATCH(79,'8. Checklist'!$J$6:$J$265,0))),"")</f>
        <v/>
      </c>
      <c r="G84" s="48" t="str">
        <f>IFERROR(IF(INDEX('8. Checklist'!$E$6:$E$265,MATCH(79,'8. Checklist'!$J$6:$J$265,0))="","",INDEX('8. Checklist'!$E$6:$E$265,MATCH(79,'8. Checklist'!$J$6:$J$265,0))),"")</f>
        <v>Not Started</v>
      </c>
    </row>
    <row r="85" spans="1:7" ht="23.25" x14ac:dyDescent="0.45">
      <c r="A85" s="68">
        <f>IF(COUNT('8. Checklist'!$J$6:$J$265)&lt;80,"",80)</f>
        <v>80</v>
      </c>
      <c r="B85" s="42" t="str">
        <f>IFERROR(IF(INDEX('8. Checklist'!$A$6:$A$265,MATCH(80,'8. Checklist'!$J$6:$J$265,0))="","",INDEX('8. Checklist'!$A$6:$A$265,MATCH(80,'8. Checklist'!$J$6:$J$265,0))),"")</f>
        <v>PF-003</v>
      </c>
      <c r="C85" s="42" t="str">
        <f>IFERROR(IF(INDEX('8. Checklist'!$B$6:$B$265,MATCH(80,'8. Checklist'!$J$6:$J$265,0))="","",INDEX('8. Checklist'!$B$6:$B$265,MATCH(80,'8. Checklist'!$J$6:$J$265,0))),"")</f>
        <v>Program Foundations (cross-cutting)</v>
      </c>
      <c r="D85" s="42" t="str">
        <f>IFERROR(IF(INDEX('8. Checklist'!$C$6:$C$265,MATCH(80,'8. Checklist'!$J$6:$J$265,0))="","",INDEX('8. Checklist'!$C$6:$C$265,MATCH(80,'8. Checklist'!$J$6:$J$265,0))),"")</f>
        <v>Establish the governance operating model</v>
      </c>
      <c r="E85" s="42" t="str">
        <f>IFERROR(IF(INDEX('8. Checklist'!$F$6:$F$265,MATCH(80,'8. Checklist'!$J$6:$J$265,0))="","",INDEX('8. Checklist'!$F$6:$F$265,MATCH(80,'8. Checklist'!$J$6:$J$265,0))),"")</f>
        <v/>
      </c>
      <c r="F85" s="69" t="str">
        <f>IFERROR(IF(INDEX('8. Checklist'!$G$6:$G$265,MATCH(80,'8. Checklist'!$J$6:$J$265,0))="","",INDEX('8. Checklist'!$G$6:$G$265,MATCH(80,'8. Checklist'!$J$6:$J$265,0))),"")</f>
        <v/>
      </c>
      <c r="G85" s="42" t="str">
        <f>IFERROR(IF(INDEX('8. Checklist'!$E$6:$E$265,MATCH(80,'8. Checklist'!$J$6:$J$265,0))="","",INDEX('8. Checklist'!$E$6:$E$265,MATCH(80,'8. Checklist'!$J$6:$J$265,0))),"")</f>
        <v>Not Started</v>
      </c>
    </row>
    <row r="86" spans="1:7" ht="23.25" x14ac:dyDescent="0.45">
      <c r="A86" s="66">
        <f>IF(COUNT('8. Checklist'!$J$6:$J$265)&lt;81,"",81)</f>
        <v>81</v>
      </c>
      <c r="B86" s="48" t="str">
        <f>IFERROR(IF(INDEX('8. Checklist'!$A$6:$A$265,MATCH(81,'8. Checklist'!$J$6:$J$265,0))="","",INDEX('8. Checklist'!$A$6:$A$265,MATCH(81,'8. Checklist'!$J$6:$J$265,0))),"")</f>
        <v>PF-005</v>
      </c>
      <c r="C86" s="48" t="str">
        <f>IFERROR(IF(INDEX('8. Checklist'!$B$6:$B$265,MATCH(81,'8. Checklist'!$J$6:$J$265,0))="","",INDEX('8. Checklist'!$B$6:$B$265,MATCH(81,'8. Checklist'!$J$6:$J$265,0))),"")</f>
        <v>Program Foundations (cross-cutting)</v>
      </c>
      <c r="D86" s="48" t="str">
        <f>IFERROR(IF(INDEX('8. Checklist'!$C$6:$C$265,MATCH(81,'8. Checklist'!$J$6:$J$265,0))="","",INDEX('8. Checklist'!$C$6:$C$265,MATCH(81,'8. Checklist'!$J$6:$J$265,0))),"")</f>
        <v>Secure executive sponsorship and budget</v>
      </c>
      <c r="E86" s="48" t="str">
        <f>IFERROR(IF(INDEX('8. Checklist'!$F$6:$F$265,MATCH(81,'8. Checklist'!$J$6:$J$265,0))="","",INDEX('8. Checklist'!$F$6:$F$265,MATCH(81,'8. Checklist'!$J$6:$J$265,0))),"")</f>
        <v/>
      </c>
      <c r="F86" s="67" t="str">
        <f>IFERROR(IF(INDEX('8. Checklist'!$G$6:$G$265,MATCH(81,'8. Checklist'!$J$6:$J$265,0))="","",INDEX('8. Checklist'!$G$6:$G$265,MATCH(81,'8. Checklist'!$J$6:$J$265,0))),"")</f>
        <v/>
      </c>
      <c r="G86" s="48" t="str">
        <f>IFERROR(IF(INDEX('8. Checklist'!$E$6:$E$265,MATCH(81,'8. Checklist'!$J$6:$J$265,0))="","",INDEX('8. Checklist'!$E$6:$E$265,MATCH(81,'8. Checklist'!$J$6:$J$265,0))),"")</f>
        <v>Not Started</v>
      </c>
    </row>
    <row r="87" spans="1:7" ht="23.25" x14ac:dyDescent="0.45">
      <c r="A87" s="68">
        <f>IF(COUNT('8. Checklist'!$J$6:$J$265)&lt;82,"",82)</f>
        <v>82</v>
      </c>
      <c r="B87" s="42" t="str">
        <f>IFERROR(IF(INDEX('8. Checklist'!$A$6:$A$265,MATCH(82,'8. Checklist'!$J$6:$J$265,0))="","",INDEX('8. Checklist'!$A$6:$A$265,MATCH(82,'8. Checklist'!$J$6:$J$265,0))),"")</f>
        <v>PF-006</v>
      </c>
      <c r="C87" s="42" t="str">
        <f>IFERROR(IF(INDEX('8. Checklist'!$B$6:$B$265,MATCH(82,'8. Checklist'!$J$6:$J$265,0))="","",INDEX('8. Checklist'!$B$6:$B$265,MATCH(82,'8. Checklist'!$J$6:$J$265,0))),"")</f>
        <v>Program Foundations (cross-cutting)</v>
      </c>
      <c r="D87" s="42" t="str">
        <f>IFERROR(IF(INDEX('8. Checklist'!$C$6:$C$265,MATCH(82,'8. Checklist'!$J$6:$J$265,0))="","",INDEX('8. Checklist'!$C$6:$C$265,MATCH(82,'8. Checklist'!$J$6:$J$265,0))),"")</f>
        <v>Establish a single control framework mapped to all instruments</v>
      </c>
      <c r="E87" s="42" t="str">
        <f>IFERROR(IF(INDEX('8. Checklist'!$F$6:$F$265,MATCH(82,'8. Checklist'!$J$6:$J$265,0))="","",INDEX('8. Checklist'!$F$6:$F$265,MATCH(82,'8. Checklist'!$J$6:$J$265,0))),"")</f>
        <v/>
      </c>
      <c r="F87" s="69" t="str">
        <f>IFERROR(IF(INDEX('8. Checklist'!$G$6:$G$265,MATCH(82,'8. Checklist'!$J$6:$J$265,0))="","",INDEX('8. Checklist'!$G$6:$G$265,MATCH(82,'8. Checklist'!$J$6:$J$265,0))),"")</f>
        <v/>
      </c>
      <c r="G87" s="42" t="str">
        <f>IFERROR(IF(INDEX('8. Checklist'!$E$6:$E$265,MATCH(82,'8. Checklist'!$J$6:$J$265,0))="","",INDEX('8. Checklist'!$E$6:$E$265,MATCH(82,'8. Checklist'!$J$6:$J$265,0))),"")</f>
        <v>Not Started</v>
      </c>
    </row>
    <row r="88" spans="1:7" ht="23.25" x14ac:dyDescent="0.45">
      <c r="A88" s="66">
        <f>IF(COUNT('8. Checklist'!$J$6:$J$265)&lt;83,"",83)</f>
        <v>83</v>
      </c>
      <c r="B88" s="48" t="str">
        <f>IFERROR(IF(INDEX('8. Checklist'!$A$6:$A$265,MATCH(83,'8. Checklist'!$J$6:$J$265,0))="","",INDEX('8. Checklist'!$A$6:$A$265,MATCH(83,'8. Checklist'!$J$6:$J$265,0))),"")</f>
        <v>PF-007</v>
      </c>
      <c r="C88" s="48" t="str">
        <f>IFERROR(IF(INDEX('8. Checklist'!$B$6:$B$265,MATCH(83,'8. Checklist'!$J$6:$J$265,0))="","",INDEX('8. Checklist'!$B$6:$B$265,MATCH(83,'8. Checklist'!$J$6:$J$265,0))),"")</f>
        <v>Program Foundations (cross-cutting)</v>
      </c>
      <c r="D88" s="48" t="str">
        <f>IFERROR(IF(INDEX('8. Checklist'!$C$6:$C$265,MATCH(83,'8. Checklist'!$J$6:$J$265,0))="","",INDEX('8. Checklist'!$C$6:$C$265,MATCH(83,'8. Checklist'!$J$6:$J$265,0))),"")</f>
        <v>Establish the evidence model early</v>
      </c>
      <c r="E88" s="48" t="str">
        <f>IFERROR(IF(INDEX('8. Checklist'!$F$6:$F$265,MATCH(83,'8. Checklist'!$J$6:$J$265,0))="","",INDEX('8. Checklist'!$F$6:$F$265,MATCH(83,'8. Checklist'!$J$6:$J$265,0))),"")</f>
        <v/>
      </c>
      <c r="F88" s="67" t="str">
        <f>IFERROR(IF(INDEX('8. Checklist'!$G$6:$G$265,MATCH(83,'8. Checklist'!$J$6:$J$265,0))="","",INDEX('8. Checklist'!$G$6:$G$265,MATCH(83,'8. Checklist'!$J$6:$J$265,0))),"")</f>
        <v/>
      </c>
      <c r="G88" s="48" t="str">
        <f>IFERROR(IF(INDEX('8. Checklist'!$E$6:$E$265,MATCH(83,'8. Checklist'!$J$6:$J$265,0))="","",INDEX('8. Checklist'!$E$6:$E$265,MATCH(83,'8. Checklist'!$J$6:$J$265,0))),"")</f>
        <v>Not Started</v>
      </c>
    </row>
    <row r="89" spans="1:7" x14ac:dyDescent="0.45">
      <c r="A89" s="68" t="str">
        <f>IF(COUNT('8. Checklist'!$J$6:$J$265)&lt;84,"",84)</f>
        <v/>
      </c>
      <c r="B89" s="42" t="str">
        <f>IFERROR(IF(INDEX('8. Checklist'!$A$6:$A$265,MATCH(84,'8. Checklist'!$J$6:$J$265,0))="","",INDEX('8. Checklist'!$A$6:$A$265,MATCH(84,'8. Checklist'!$J$6:$J$265,0))),"")</f>
        <v/>
      </c>
      <c r="C89" s="42" t="str">
        <f>IFERROR(IF(INDEX('8. Checklist'!$B$6:$B$265,MATCH(84,'8. Checklist'!$J$6:$J$265,0))="","",INDEX('8. Checklist'!$B$6:$B$265,MATCH(84,'8. Checklist'!$J$6:$J$265,0))),"")</f>
        <v/>
      </c>
      <c r="D89" s="42" t="str">
        <f>IFERROR(IF(INDEX('8. Checklist'!$C$6:$C$265,MATCH(84,'8. Checklist'!$J$6:$J$265,0))="","",INDEX('8. Checklist'!$C$6:$C$265,MATCH(84,'8. Checklist'!$J$6:$J$265,0))),"")</f>
        <v/>
      </c>
      <c r="E89" s="42" t="str">
        <f>IFERROR(IF(INDEX('8. Checklist'!$F$6:$F$265,MATCH(84,'8. Checklist'!$J$6:$J$265,0))="","",INDEX('8. Checklist'!$F$6:$F$265,MATCH(84,'8. Checklist'!$J$6:$J$265,0))),"")</f>
        <v/>
      </c>
      <c r="F89" s="69" t="str">
        <f>IFERROR(IF(INDEX('8. Checklist'!$G$6:$G$265,MATCH(84,'8. Checklist'!$J$6:$J$265,0))="","",INDEX('8. Checklist'!$G$6:$G$265,MATCH(84,'8. Checklist'!$J$6:$J$265,0))),"")</f>
        <v/>
      </c>
      <c r="G89" s="42" t="str">
        <f>IFERROR(IF(INDEX('8. Checklist'!$E$6:$E$265,MATCH(84,'8. Checklist'!$J$6:$J$265,0))="","",INDEX('8. Checklist'!$E$6:$E$265,MATCH(84,'8. Checklist'!$J$6:$J$265,0))),"")</f>
        <v/>
      </c>
    </row>
    <row r="90" spans="1:7" x14ac:dyDescent="0.45">
      <c r="A90" s="66" t="str">
        <f>IF(COUNT('8. Checklist'!$J$6:$J$265)&lt;85,"",85)</f>
        <v/>
      </c>
      <c r="B90" s="48" t="str">
        <f>IFERROR(IF(INDEX('8. Checklist'!$A$6:$A$265,MATCH(85,'8. Checklist'!$J$6:$J$265,0))="","",INDEX('8. Checklist'!$A$6:$A$265,MATCH(85,'8. Checklist'!$J$6:$J$265,0))),"")</f>
        <v/>
      </c>
      <c r="C90" s="48" t="str">
        <f>IFERROR(IF(INDEX('8. Checklist'!$B$6:$B$265,MATCH(85,'8. Checklist'!$J$6:$J$265,0))="","",INDEX('8. Checklist'!$B$6:$B$265,MATCH(85,'8. Checklist'!$J$6:$J$265,0))),"")</f>
        <v/>
      </c>
      <c r="D90" s="48" t="str">
        <f>IFERROR(IF(INDEX('8. Checklist'!$C$6:$C$265,MATCH(85,'8. Checklist'!$J$6:$J$265,0))="","",INDEX('8. Checklist'!$C$6:$C$265,MATCH(85,'8. Checklist'!$J$6:$J$265,0))),"")</f>
        <v/>
      </c>
      <c r="E90" s="48" t="str">
        <f>IFERROR(IF(INDEX('8. Checklist'!$F$6:$F$265,MATCH(85,'8. Checklist'!$J$6:$J$265,0))="","",INDEX('8. Checklist'!$F$6:$F$265,MATCH(85,'8. Checklist'!$J$6:$J$265,0))),"")</f>
        <v/>
      </c>
      <c r="F90" s="67" t="str">
        <f>IFERROR(IF(INDEX('8. Checklist'!$G$6:$G$265,MATCH(85,'8. Checklist'!$J$6:$J$265,0))="","",INDEX('8. Checklist'!$G$6:$G$265,MATCH(85,'8. Checklist'!$J$6:$J$265,0))),"")</f>
        <v/>
      </c>
      <c r="G90" s="48" t="str">
        <f>IFERROR(IF(INDEX('8. Checklist'!$E$6:$E$265,MATCH(85,'8. Checklist'!$J$6:$J$265,0))="","",INDEX('8. Checklist'!$E$6:$E$265,MATCH(85,'8. Checklist'!$J$6:$J$265,0))),"")</f>
        <v/>
      </c>
    </row>
    <row r="91" spans="1:7" x14ac:dyDescent="0.45">
      <c r="A91" s="68" t="str">
        <f>IF(COUNT('8. Checklist'!$J$6:$J$265)&lt;86,"",86)</f>
        <v/>
      </c>
      <c r="B91" s="42" t="str">
        <f>IFERROR(IF(INDEX('8. Checklist'!$A$6:$A$265,MATCH(86,'8. Checklist'!$J$6:$J$265,0))="","",INDEX('8. Checklist'!$A$6:$A$265,MATCH(86,'8. Checklist'!$J$6:$J$265,0))),"")</f>
        <v/>
      </c>
      <c r="C91" s="42" t="str">
        <f>IFERROR(IF(INDEX('8. Checklist'!$B$6:$B$265,MATCH(86,'8. Checklist'!$J$6:$J$265,0))="","",INDEX('8. Checklist'!$B$6:$B$265,MATCH(86,'8. Checklist'!$J$6:$J$265,0))),"")</f>
        <v/>
      </c>
      <c r="D91" s="42" t="str">
        <f>IFERROR(IF(INDEX('8. Checklist'!$C$6:$C$265,MATCH(86,'8. Checklist'!$J$6:$J$265,0))="","",INDEX('8. Checklist'!$C$6:$C$265,MATCH(86,'8. Checklist'!$J$6:$J$265,0))),"")</f>
        <v/>
      </c>
      <c r="E91" s="42" t="str">
        <f>IFERROR(IF(INDEX('8. Checklist'!$F$6:$F$265,MATCH(86,'8. Checklist'!$J$6:$J$265,0))="","",INDEX('8. Checklist'!$F$6:$F$265,MATCH(86,'8. Checklist'!$J$6:$J$265,0))),"")</f>
        <v/>
      </c>
      <c r="F91" s="69" t="str">
        <f>IFERROR(IF(INDEX('8. Checklist'!$G$6:$G$265,MATCH(86,'8. Checklist'!$J$6:$J$265,0))="","",INDEX('8. Checklist'!$G$6:$G$265,MATCH(86,'8. Checklist'!$J$6:$J$265,0))),"")</f>
        <v/>
      </c>
      <c r="G91" s="42" t="str">
        <f>IFERROR(IF(INDEX('8. Checklist'!$E$6:$E$265,MATCH(86,'8. Checklist'!$J$6:$J$265,0))="","",INDEX('8. Checklist'!$E$6:$E$265,MATCH(86,'8. Checklist'!$J$6:$J$265,0))),"")</f>
        <v/>
      </c>
    </row>
    <row r="92" spans="1:7" x14ac:dyDescent="0.45">
      <c r="A92" s="66" t="str">
        <f>IF(COUNT('8. Checklist'!$J$6:$J$265)&lt;87,"",87)</f>
        <v/>
      </c>
      <c r="B92" s="48" t="str">
        <f>IFERROR(IF(INDEX('8. Checklist'!$A$6:$A$265,MATCH(87,'8. Checklist'!$J$6:$J$265,0))="","",INDEX('8. Checklist'!$A$6:$A$265,MATCH(87,'8. Checklist'!$J$6:$J$265,0))),"")</f>
        <v/>
      </c>
      <c r="C92" s="48" t="str">
        <f>IFERROR(IF(INDEX('8. Checklist'!$B$6:$B$265,MATCH(87,'8. Checklist'!$J$6:$J$265,0))="","",INDEX('8. Checklist'!$B$6:$B$265,MATCH(87,'8. Checklist'!$J$6:$J$265,0))),"")</f>
        <v/>
      </c>
      <c r="D92" s="48" t="str">
        <f>IFERROR(IF(INDEX('8. Checklist'!$C$6:$C$265,MATCH(87,'8. Checklist'!$J$6:$J$265,0))="","",INDEX('8. Checklist'!$C$6:$C$265,MATCH(87,'8. Checklist'!$J$6:$J$265,0))),"")</f>
        <v/>
      </c>
      <c r="E92" s="48" t="str">
        <f>IFERROR(IF(INDEX('8. Checklist'!$F$6:$F$265,MATCH(87,'8. Checklist'!$J$6:$J$265,0))="","",INDEX('8. Checklist'!$F$6:$F$265,MATCH(87,'8. Checklist'!$J$6:$J$265,0))),"")</f>
        <v/>
      </c>
      <c r="F92" s="67" t="str">
        <f>IFERROR(IF(INDEX('8. Checklist'!$G$6:$G$265,MATCH(87,'8. Checklist'!$J$6:$J$265,0))="","",INDEX('8. Checklist'!$G$6:$G$265,MATCH(87,'8. Checklist'!$J$6:$J$265,0))),"")</f>
        <v/>
      </c>
      <c r="G92" s="48" t="str">
        <f>IFERROR(IF(INDEX('8. Checklist'!$E$6:$E$265,MATCH(87,'8. Checklist'!$J$6:$J$265,0))="","",INDEX('8. Checklist'!$E$6:$E$265,MATCH(87,'8. Checklist'!$J$6:$J$265,0))),"")</f>
        <v/>
      </c>
    </row>
    <row r="93" spans="1:7" x14ac:dyDescent="0.45">
      <c r="A93" s="68" t="str">
        <f>IF(COUNT('8. Checklist'!$J$6:$J$265)&lt;88,"",88)</f>
        <v/>
      </c>
      <c r="B93" s="42" t="str">
        <f>IFERROR(IF(INDEX('8. Checklist'!$A$6:$A$265,MATCH(88,'8. Checklist'!$J$6:$J$265,0))="","",INDEX('8. Checklist'!$A$6:$A$265,MATCH(88,'8. Checklist'!$J$6:$J$265,0))),"")</f>
        <v/>
      </c>
      <c r="C93" s="42" t="str">
        <f>IFERROR(IF(INDEX('8. Checklist'!$B$6:$B$265,MATCH(88,'8. Checklist'!$J$6:$J$265,0))="","",INDEX('8. Checklist'!$B$6:$B$265,MATCH(88,'8. Checklist'!$J$6:$J$265,0))),"")</f>
        <v/>
      </c>
      <c r="D93" s="42" t="str">
        <f>IFERROR(IF(INDEX('8. Checklist'!$C$6:$C$265,MATCH(88,'8. Checklist'!$J$6:$J$265,0))="","",INDEX('8. Checklist'!$C$6:$C$265,MATCH(88,'8. Checklist'!$J$6:$J$265,0))),"")</f>
        <v/>
      </c>
      <c r="E93" s="42" t="str">
        <f>IFERROR(IF(INDEX('8. Checklist'!$F$6:$F$265,MATCH(88,'8. Checklist'!$J$6:$J$265,0))="","",INDEX('8. Checklist'!$F$6:$F$265,MATCH(88,'8. Checklist'!$J$6:$J$265,0))),"")</f>
        <v/>
      </c>
      <c r="F93" s="69" t="str">
        <f>IFERROR(IF(INDEX('8. Checklist'!$G$6:$G$265,MATCH(88,'8. Checklist'!$J$6:$J$265,0))="","",INDEX('8. Checklist'!$G$6:$G$265,MATCH(88,'8. Checklist'!$J$6:$J$265,0))),"")</f>
        <v/>
      </c>
      <c r="G93" s="42" t="str">
        <f>IFERROR(IF(INDEX('8. Checklist'!$E$6:$E$265,MATCH(88,'8. Checklist'!$J$6:$J$265,0))="","",INDEX('8. Checklist'!$E$6:$E$265,MATCH(88,'8. Checklist'!$J$6:$J$265,0))),"")</f>
        <v/>
      </c>
    </row>
    <row r="94" spans="1:7" x14ac:dyDescent="0.45">
      <c r="A94" s="66" t="str">
        <f>IF(COUNT('8. Checklist'!$J$6:$J$265)&lt;89,"",89)</f>
        <v/>
      </c>
      <c r="B94" s="48" t="str">
        <f>IFERROR(IF(INDEX('8. Checklist'!$A$6:$A$265,MATCH(89,'8. Checklist'!$J$6:$J$265,0))="","",INDEX('8. Checklist'!$A$6:$A$265,MATCH(89,'8. Checklist'!$J$6:$J$265,0))),"")</f>
        <v/>
      </c>
      <c r="C94" s="48" t="str">
        <f>IFERROR(IF(INDEX('8. Checklist'!$B$6:$B$265,MATCH(89,'8. Checklist'!$J$6:$J$265,0))="","",INDEX('8. Checklist'!$B$6:$B$265,MATCH(89,'8. Checklist'!$J$6:$J$265,0))),"")</f>
        <v/>
      </c>
      <c r="D94" s="48" t="str">
        <f>IFERROR(IF(INDEX('8. Checklist'!$C$6:$C$265,MATCH(89,'8. Checklist'!$J$6:$J$265,0))="","",INDEX('8. Checklist'!$C$6:$C$265,MATCH(89,'8. Checklist'!$J$6:$J$265,0))),"")</f>
        <v/>
      </c>
      <c r="E94" s="48" t="str">
        <f>IFERROR(IF(INDEX('8. Checklist'!$F$6:$F$265,MATCH(89,'8. Checklist'!$J$6:$J$265,0))="","",INDEX('8. Checklist'!$F$6:$F$265,MATCH(89,'8. Checklist'!$J$6:$J$265,0))),"")</f>
        <v/>
      </c>
      <c r="F94" s="67" t="str">
        <f>IFERROR(IF(INDEX('8. Checklist'!$G$6:$G$265,MATCH(89,'8. Checklist'!$J$6:$J$265,0))="","",INDEX('8. Checklist'!$G$6:$G$265,MATCH(89,'8. Checklist'!$J$6:$J$265,0))),"")</f>
        <v/>
      </c>
      <c r="G94" s="48" t="str">
        <f>IFERROR(IF(INDEX('8. Checklist'!$E$6:$E$265,MATCH(89,'8. Checklist'!$J$6:$J$265,0))="","",INDEX('8. Checklist'!$E$6:$E$265,MATCH(89,'8. Checklist'!$J$6:$J$265,0))),"")</f>
        <v/>
      </c>
    </row>
    <row r="95" spans="1:7" x14ac:dyDescent="0.45">
      <c r="A95" s="68" t="str">
        <f>IF(COUNT('8. Checklist'!$J$6:$J$265)&lt;90,"",90)</f>
        <v/>
      </c>
      <c r="B95" s="42" t="str">
        <f>IFERROR(IF(INDEX('8. Checklist'!$A$6:$A$265,MATCH(90,'8. Checklist'!$J$6:$J$265,0))="","",INDEX('8. Checklist'!$A$6:$A$265,MATCH(90,'8. Checklist'!$J$6:$J$265,0))),"")</f>
        <v/>
      </c>
      <c r="C95" s="42" t="str">
        <f>IFERROR(IF(INDEX('8. Checklist'!$B$6:$B$265,MATCH(90,'8. Checklist'!$J$6:$J$265,0))="","",INDEX('8. Checklist'!$B$6:$B$265,MATCH(90,'8. Checklist'!$J$6:$J$265,0))),"")</f>
        <v/>
      </c>
      <c r="D95" s="42" t="str">
        <f>IFERROR(IF(INDEX('8. Checklist'!$C$6:$C$265,MATCH(90,'8. Checklist'!$J$6:$J$265,0))="","",INDEX('8. Checklist'!$C$6:$C$265,MATCH(90,'8. Checklist'!$J$6:$J$265,0))),"")</f>
        <v/>
      </c>
      <c r="E95" s="42" t="str">
        <f>IFERROR(IF(INDEX('8. Checklist'!$F$6:$F$265,MATCH(90,'8. Checklist'!$J$6:$J$265,0))="","",INDEX('8. Checklist'!$F$6:$F$265,MATCH(90,'8. Checklist'!$J$6:$J$265,0))),"")</f>
        <v/>
      </c>
      <c r="F95" s="69" t="str">
        <f>IFERROR(IF(INDEX('8. Checklist'!$G$6:$G$265,MATCH(90,'8. Checklist'!$J$6:$J$265,0))="","",INDEX('8. Checklist'!$G$6:$G$265,MATCH(90,'8. Checklist'!$J$6:$J$265,0))),"")</f>
        <v/>
      </c>
      <c r="G95" s="42" t="str">
        <f>IFERROR(IF(INDEX('8. Checklist'!$E$6:$E$265,MATCH(90,'8. Checklist'!$J$6:$J$265,0))="","",INDEX('8. Checklist'!$E$6:$E$265,MATCH(90,'8. Checklist'!$J$6:$J$265,0))),"")</f>
        <v/>
      </c>
    </row>
  </sheetData>
  <mergeCells count="3">
    <mergeCell ref="A1:G1"/>
    <mergeCell ref="A2:G2"/>
    <mergeCell ref="A3:G3"/>
  </mergeCells>
  <printOptions horizontalCentered="1"/>
  <pageMargins left="0.75" right="0.75" top="1" bottom="1" header="0.511811023622047" footer="0.511811023622047"/>
  <pageSetup fitToHeight="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E8641C"/>
    <pageSetUpPr fitToPage="1"/>
  </sheetPr>
  <dimension ref="A1:G66"/>
  <sheetViews>
    <sheetView showGridLines="0" zoomScaleNormal="100" workbookViewId="0">
      <pane ySplit="6" topLeftCell="A7" activePane="bottomLeft" state="frozen"/>
      <selection pane="bottomLeft"/>
    </sheetView>
  </sheetViews>
  <sheetFormatPr defaultColWidth="8.6640625" defaultRowHeight="14.25" x14ac:dyDescent="0.45"/>
  <cols>
    <col min="1" max="1" width="5" customWidth="1"/>
    <col min="2" max="2" width="10" customWidth="1"/>
    <col min="3" max="3" width="24" customWidth="1"/>
    <col min="4" max="4" width="56" customWidth="1"/>
    <col min="5" max="5" width="9" customWidth="1"/>
    <col min="6" max="7" width="14" customWidth="1"/>
  </cols>
  <sheetData>
    <row r="1" spans="1:7" ht="30" customHeight="1" x14ac:dyDescent="0.45">
      <c r="A1" s="122" t="s">
        <v>1351</v>
      </c>
      <c r="B1" s="122"/>
      <c r="C1" s="122"/>
      <c r="D1" s="122"/>
      <c r="E1" s="122"/>
      <c r="F1" s="122"/>
      <c r="G1" s="122"/>
    </row>
    <row r="2" spans="1:7" ht="18" customHeight="1" x14ac:dyDescent="0.45">
      <c r="A2" s="123" t="s">
        <v>1352</v>
      </c>
      <c r="B2" s="123"/>
      <c r="C2" s="123"/>
      <c r="D2" s="123"/>
      <c r="E2" s="123"/>
      <c r="F2" s="123"/>
      <c r="G2" s="123"/>
    </row>
    <row r="4" spans="1:7" ht="17.649999999999999" x14ac:dyDescent="0.45">
      <c r="B4" s="70" t="s">
        <v>1353</v>
      </c>
      <c r="C4" s="71" t="s">
        <v>356</v>
      </c>
      <c r="E4" s="70" t="s">
        <v>1354</v>
      </c>
      <c r="F4" s="72">
        <f>COUNTIFS('8. Checklist'!$F$6:$F$265,$C$4,'8. Checklist'!$E$6:$E$265,"&lt;&gt;Complete",'8. Checklist'!$E$6:$E$265,"&lt;&gt;N/A")</f>
        <v>0</v>
      </c>
    </row>
    <row r="6" spans="1:7" ht="30" customHeight="1" x14ac:dyDescent="0.45">
      <c r="A6" s="32" t="s">
        <v>134</v>
      </c>
      <c r="B6" s="32" t="s">
        <v>817</v>
      </c>
      <c r="C6" s="32" t="s">
        <v>818</v>
      </c>
      <c r="D6" s="32" t="s">
        <v>1350</v>
      </c>
      <c r="E6" s="32" t="s">
        <v>349</v>
      </c>
      <c r="F6" s="32" t="s">
        <v>820</v>
      </c>
      <c r="G6" s="32" t="s">
        <v>580</v>
      </c>
    </row>
    <row r="7" spans="1:7" x14ac:dyDescent="0.45">
      <c r="A7" s="66" t="str">
        <f>IF(COUNT('8. Checklist'!$K$6:$K$265)&lt;1,"",1)</f>
        <v/>
      </c>
      <c r="B7" s="48" t="str">
        <f>IFERROR(IF(INDEX('8. Checklist'!$A$6:$A$265,MATCH(1,'8. Checklist'!$K$6:$K$265,0))="","",INDEX('8. Checklist'!$A$6:$A$265,MATCH(1,'8. Checklist'!$K$6:$K$265,0))),"")</f>
        <v/>
      </c>
      <c r="C7" s="48" t="str">
        <f>IFERROR(IF(INDEX('8. Checklist'!$B$6:$B$265,MATCH(1,'8. Checklist'!$K$6:$K$265,0))="","",INDEX('8. Checklist'!$B$6:$B$265,MATCH(1,'8. Checklist'!$K$6:$K$265,0))),"")</f>
        <v/>
      </c>
      <c r="D7" s="48" t="str">
        <f>IFERROR(IF(INDEX('8. Checklist'!$C$6:$C$265,MATCH(1,'8. Checklist'!$K$6:$K$265,0))="","",INDEX('8. Checklist'!$C$6:$C$265,MATCH(1,'8. Checklist'!$K$6:$K$265,0))),"")</f>
        <v/>
      </c>
      <c r="E7" s="30" t="str">
        <f>IFERROR(IF(INDEX('8. Checklist'!$D$6:$D$265,MATCH(1,'8. Checklist'!$K$6:$K$265,0))="","",INDEX('8. Checklist'!$D$6:$D$265,MATCH(1,'8. Checklist'!$K$6:$K$265,0))),"")</f>
        <v/>
      </c>
      <c r="F7" s="67" t="str">
        <f>IFERROR(IF(INDEX('8. Checklist'!$G$6:$G$265,MATCH(1,'8. Checklist'!$K$6:$K$265,0))="","",INDEX('8. Checklist'!$G$6:$G$265,MATCH(1,'8. Checklist'!$K$6:$K$265,0))),"")</f>
        <v/>
      </c>
      <c r="G7" s="48" t="str">
        <f>IFERROR(IF(INDEX('8. Checklist'!$E$6:$E$265,MATCH(1,'8. Checklist'!$K$6:$K$265,0))="","",INDEX('8. Checklist'!$E$6:$E$265,MATCH(1,'8. Checklist'!$K$6:$K$265,0))),"")</f>
        <v/>
      </c>
    </row>
    <row r="8" spans="1:7" x14ac:dyDescent="0.45">
      <c r="A8" s="68" t="str">
        <f>IF(COUNT('8. Checklist'!$K$6:$K$265)&lt;2,"",2)</f>
        <v/>
      </c>
      <c r="B8" s="42" t="str">
        <f>IFERROR(IF(INDEX('8. Checklist'!$A$6:$A$265,MATCH(2,'8. Checklist'!$K$6:$K$265,0))="","",INDEX('8. Checklist'!$A$6:$A$265,MATCH(2,'8. Checklist'!$K$6:$K$265,0))),"")</f>
        <v/>
      </c>
      <c r="C8" s="42" t="str">
        <f>IFERROR(IF(INDEX('8. Checklist'!$B$6:$B$265,MATCH(2,'8. Checklist'!$K$6:$K$265,0))="","",INDEX('8. Checklist'!$B$6:$B$265,MATCH(2,'8. Checklist'!$K$6:$K$265,0))),"")</f>
        <v/>
      </c>
      <c r="D8" s="42" t="str">
        <f>IFERROR(IF(INDEX('8. Checklist'!$C$6:$C$265,MATCH(2,'8. Checklist'!$K$6:$K$265,0))="","",INDEX('8. Checklist'!$C$6:$C$265,MATCH(2,'8. Checklist'!$K$6:$K$265,0))),"")</f>
        <v/>
      </c>
      <c r="E8" s="73" t="str">
        <f>IFERROR(IF(INDEX('8. Checklist'!$D$6:$D$265,MATCH(2,'8. Checklist'!$K$6:$K$265,0))="","",INDEX('8. Checklist'!$D$6:$D$265,MATCH(2,'8. Checklist'!$K$6:$K$265,0))),"")</f>
        <v/>
      </c>
      <c r="F8" s="69" t="str">
        <f>IFERROR(IF(INDEX('8. Checklist'!$G$6:$G$265,MATCH(2,'8. Checklist'!$K$6:$K$265,0))="","",INDEX('8. Checklist'!$G$6:$G$265,MATCH(2,'8. Checklist'!$K$6:$K$265,0))),"")</f>
        <v/>
      </c>
      <c r="G8" s="42" t="str">
        <f>IFERROR(IF(INDEX('8. Checklist'!$E$6:$E$265,MATCH(2,'8. Checklist'!$K$6:$K$265,0))="","",INDEX('8. Checklist'!$E$6:$E$265,MATCH(2,'8. Checklist'!$K$6:$K$265,0))),"")</f>
        <v/>
      </c>
    </row>
    <row r="9" spans="1:7" x14ac:dyDescent="0.45">
      <c r="A9" s="66" t="str">
        <f>IF(COUNT('8. Checklist'!$K$6:$K$265)&lt;3,"",3)</f>
        <v/>
      </c>
      <c r="B9" s="48" t="str">
        <f>IFERROR(IF(INDEX('8. Checklist'!$A$6:$A$265,MATCH(3,'8. Checklist'!$K$6:$K$265,0))="","",INDEX('8. Checklist'!$A$6:$A$265,MATCH(3,'8. Checklist'!$K$6:$K$265,0))),"")</f>
        <v/>
      </c>
      <c r="C9" s="48" t="str">
        <f>IFERROR(IF(INDEX('8. Checklist'!$B$6:$B$265,MATCH(3,'8. Checklist'!$K$6:$K$265,0))="","",INDEX('8. Checklist'!$B$6:$B$265,MATCH(3,'8. Checklist'!$K$6:$K$265,0))),"")</f>
        <v/>
      </c>
      <c r="D9" s="48" t="str">
        <f>IFERROR(IF(INDEX('8. Checklist'!$C$6:$C$265,MATCH(3,'8. Checklist'!$K$6:$K$265,0))="","",INDEX('8. Checklist'!$C$6:$C$265,MATCH(3,'8. Checklist'!$K$6:$K$265,0))),"")</f>
        <v/>
      </c>
      <c r="E9" s="30" t="str">
        <f>IFERROR(IF(INDEX('8. Checklist'!$D$6:$D$265,MATCH(3,'8. Checklist'!$K$6:$K$265,0))="","",INDEX('8. Checklist'!$D$6:$D$265,MATCH(3,'8. Checklist'!$K$6:$K$265,0))),"")</f>
        <v/>
      </c>
      <c r="F9" s="67" t="str">
        <f>IFERROR(IF(INDEX('8. Checklist'!$G$6:$G$265,MATCH(3,'8. Checklist'!$K$6:$K$265,0))="","",INDEX('8. Checklist'!$G$6:$G$265,MATCH(3,'8. Checklist'!$K$6:$K$265,0))),"")</f>
        <v/>
      </c>
      <c r="G9" s="48" t="str">
        <f>IFERROR(IF(INDEX('8. Checklist'!$E$6:$E$265,MATCH(3,'8. Checklist'!$K$6:$K$265,0))="","",INDEX('8. Checklist'!$E$6:$E$265,MATCH(3,'8. Checklist'!$K$6:$K$265,0))),"")</f>
        <v/>
      </c>
    </row>
    <row r="10" spans="1:7" x14ac:dyDescent="0.45">
      <c r="A10" s="68" t="str">
        <f>IF(COUNT('8. Checklist'!$K$6:$K$265)&lt;4,"",4)</f>
        <v/>
      </c>
      <c r="B10" s="42" t="str">
        <f>IFERROR(IF(INDEX('8. Checklist'!$A$6:$A$265,MATCH(4,'8. Checklist'!$K$6:$K$265,0))="","",INDEX('8. Checklist'!$A$6:$A$265,MATCH(4,'8. Checklist'!$K$6:$K$265,0))),"")</f>
        <v/>
      </c>
      <c r="C10" s="42" t="str">
        <f>IFERROR(IF(INDEX('8. Checklist'!$B$6:$B$265,MATCH(4,'8. Checklist'!$K$6:$K$265,0))="","",INDEX('8. Checklist'!$B$6:$B$265,MATCH(4,'8. Checklist'!$K$6:$K$265,0))),"")</f>
        <v/>
      </c>
      <c r="D10" s="42" t="str">
        <f>IFERROR(IF(INDEX('8. Checklist'!$C$6:$C$265,MATCH(4,'8. Checklist'!$K$6:$K$265,0))="","",INDEX('8. Checklist'!$C$6:$C$265,MATCH(4,'8. Checklist'!$K$6:$K$265,0))),"")</f>
        <v/>
      </c>
      <c r="E10" s="73" t="str">
        <f>IFERROR(IF(INDEX('8. Checklist'!$D$6:$D$265,MATCH(4,'8. Checklist'!$K$6:$K$265,0))="","",INDEX('8. Checklist'!$D$6:$D$265,MATCH(4,'8. Checklist'!$K$6:$K$265,0))),"")</f>
        <v/>
      </c>
      <c r="F10" s="69" t="str">
        <f>IFERROR(IF(INDEX('8. Checklist'!$G$6:$G$265,MATCH(4,'8. Checklist'!$K$6:$K$265,0))="","",INDEX('8. Checklist'!$G$6:$G$265,MATCH(4,'8. Checklist'!$K$6:$K$265,0))),"")</f>
        <v/>
      </c>
      <c r="G10" s="42" t="str">
        <f>IFERROR(IF(INDEX('8. Checklist'!$E$6:$E$265,MATCH(4,'8. Checklist'!$K$6:$K$265,0))="","",INDEX('8. Checklist'!$E$6:$E$265,MATCH(4,'8. Checklist'!$K$6:$K$265,0))),"")</f>
        <v/>
      </c>
    </row>
    <row r="11" spans="1:7" x14ac:dyDescent="0.45">
      <c r="A11" s="66" t="str">
        <f>IF(COUNT('8. Checklist'!$K$6:$K$265)&lt;5,"",5)</f>
        <v/>
      </c>
      <c r="B11" s="48" t="str">
        <f>IFERROR(IF(INDEX('8. Checklist'!$A$6:$A$265,MATCH(5,'8. Checklist'!$K$6:$K$265,0))="","",INDEX('8. Checklist'!$A$6:$A$265,MATCH(5,'8. Checklist'!$K$6:$K$265,0))),"")</f>
        <v/>
      </c>
      <c r="C11" s="48" t="str">
        <f>IFERROR(IF(INDEX('8. Checklist'!$B$6:$B$265,MATCH(5,'8. Checklist'!$K$6:$K$265,0))="","",INDEX('8. Checklist'!$B$6:$B$265,MATCH(5,'8. Checklist'!$K$6:$K$265,0))),"")</f>
        <v/>
      </c>
      <c r="D11" s="48" t="str">
        <f>IFERROR(IF(INDEX('8. Checklist'!$C$6:$C$265,MATCH(5,'8. Checklist'!$K$6:$K$265,0))="","",INDEX('8. Checklist'!$C$6:$C$265,MATCH(5,'8. Checklist'!$K$6:$K$265,0))),"")</f>
        <v/>
      </c>
      <c r="E11" s="30" t="str">
        <f>IFERROR(IF(INDEX('8. Checklist'!$D$6:$D$265,MATCH(5,'8. Checklist'!$K$6:$K$265,0))="","",INDEX('8. Checklist'!$D$6:$D$265,MATCH(5,'8. Checklist'!$K$6:$K$265,0))),"")</f>
        <v/>
      </c>
      <c r="F11" s="67" t="str">
        <f>IFERROR(IF(INDEX('8. Checklist'!$G$6:$G$265,MATCH(5,'8. Checklist'!$K$6:$K$265,0))="","",INDEX('8. Checklist'!$G$6:$G$265,MATCH(5,'8. Checklist'!$K$6:$K$265,0))),"")</f>
        <v/>
      </c>
      <c r="G11" s="48" t="str">
        <f>IFERROR(IF(INDEX('8. Checklist'!$E$6:$E$265,MATCH(5,'8. Checklist'!$K$6:$K$265,0))="","",INDEX('8. Checklist'!$E$6:$E$265,MATCH(5,'8. Checklist'!$K$6:$K$265,0))),"")</f>
        <v/>
      </c>
    </row>
    <row r="12" spans="1:7" x14ac:dyDescent="0.45">
      <c r="A12" s="68" t="str">
        <f>IF(COUNT('8. Checklist'!$K$6:$K$265)&lt;6,"",6)</f>
        <v/>
      </c>
      <c r="B12" s="42" t="str">
        <f>IFERROR(IF(INDEX('8. Checklist'!$A$6:$A$265,MATCH(6,'8. Checklist'!$K$6:$K$265,0))="","",INDEX('8. Checklist'!$A$6:$A$265,MATCH(6,'8. Checklist'!$K$6:$K$265,0))),"")</f>
        <v/>
      </c>
      <c r="C12" s="42" t="str">
        <f>IFERROR(IF(INDEX('8. Checklist'!$B$6:$B$265,MATCH(6,'8. Checklist'!$K$6:$K$265,0))="","",INDEX('8. Checklist'!$B$6:$B$265,MATCH(6,'8. Checklist'!$K$6:$K$265,0))),"")</f>
        <v/>
      </c>
      <c r="D12" s="42" t="str">
        <f>IFERROR(IF(INDEX('8. Checklist'!$C$6:$C$265,MATCH(6,'8. Checklist'!$K$6:$K$265,0))="","",INDEX('8. Checklist'!$C$6:$C$265,MATCH(6,'8. Checklist'!$K$6:$K$265,0))),"")</f>
        <v/>
      </c>
      <c r="E12" s="73" t="str">
        <f>IFERROR(IF(INDEX('8. Checklist'!$D$6:$D$265,MATCH(6,'8. Checklist'!$K$6:$K$265,0))="","",INDEX('8. Checklist'!$D$6:$D$265,MATCH(6,'8. Checklist'!$K$6:$K$265,0))),"")</f>
        <v/>
      </c>
      <c r="F12" s="69" t="str">
        <f>IFERROR(IF(INDEX('8. Checklist'!$G$6:$G$265,MATCH(6,'8. Checklist'!$K$6:$K$265,0))="","",INDEX('8. Checklist'!$G$6:$G$265,MATCH(6,'8. Checklist'!$K$6:$K$265,0))),"")</f>
        <v/>
      </c>
      <c r="G12" s="42" t="str">
        <f>IFERROR(IF(INDEX('8. Checklist'!$E$6:$E$265,MATCH(6,'8. Checklist'!$K$6:$K$265,0))="","",INDEX('8. Checklist'!$E$6:$E$265,MATCH(6,'8. Checklist'!$K$6:$K$265,0))),"")</f>
        <v/>
      </c>
    </row>
    <row r="13" spans="1:7" x14ac:dyDescent="0.45">
      <c r="A13" s="66" t="str">
        <f>IF(COUNT('8. Checklist'!$K$6:$K$265)&lt;7,"",7)</f>
        <v/>
      </c>
      <c r="B13" s="48" t="str">
        <f>IFERROR(IF(INDEX('8. Checklist'!$A$6:$A$265,MATCH(7,'8. Checklist'!$K$6:$K$265,0))="","",INDEX('8. Checklist'!$A$6:$A$265,MATCH(7,'8. Checklist'!$K$6:$K$265,0))),"")</f>
        <v/>
      </c>
      <c r="C13" s="48" t="str">
        <f>IFERROR(IF(INDEX('8. Checklist'!$B$6:$B$265,MATCH(7,'8. Checklist'!$K$6:$K$265,0))="","",INDEX('8. Checklist'!$B$6:$B$265,MATCH(7,'8. Checklist'!$K$6:$K$265,0))),"")</f>
        <v/>
      </c>
      <c r="D13" s="48" t="str">
        <f>IFERROR(IF(INDEX('8. Checklist'!$C$6:$C$265,MATCH(7,'8. Checklist'!$K$6:$K$265,0))="","",INDEX('8. Checklist'!$C$6:$C$265,MATCH(7,'8. Checklist'!$K$6:$K$265,0))),"")</f>
        <v/>
      </c>
      <c r="E13" s="30" t="str">
        <f>IFERROR(IF(INDEX('8. Checklist'!$D$6:$D$265,MATCH(7,'8. Checklist'!$K$6:$K$265,0))="","",INDEX('8. Checklist'!$D$6:$D$265,MATCH(7,'8. Checklist'!$K$6:$K$265,0))),"")</f>
        <v/>
      </c>
      <c r="F13" s="67" t="str">
        <f>IFERROR(IF(INDEX('8. Checklist'!$G$6:$G$265,MATCH(7,'8. Checklist'!$K$6:$K$265,0))="","",INDEX('8. Checklist'!$G$6:$G$265,MATCH(7,'8. Checklist'!$K$6:$K$265,0))),"")</f>
        <v/>
      </c>
      <c r="G13" s="48" t="str">
        <f>IFERROR(IF(INDEX('8. Checklist'!$E$6:$E$265,MATCH(7,'8. Checklist'!$K$6:$K$265,0))="","",INDEX('8. Checklist'!$E$6:$E$265,MATCH(7,'8. Checklist'!$K$6:$K$265,0))),"")</f>
        <v/>
      </c>
    </row>
    <row r="14" spans="1:7" x14ac:dyDescent="0.45">
      <c r="A14" s="68" t="str">
        <f>IF(COUNT('8. Checklist'!$K$6:$K$265)&lt;8,"",8)</f>
        <v/>
      </c>
      <c r="B14" s="42" t="str">
        <f>IFERROR(IF(INDEX('8. Checklist'!$A$6:$A$265,MATCH(8,'8. Checklist'!$K$6:$K$265,0))="","",INDEX('8. Checklist'!$A$6:$A$265,MATCH(8,'8. Checklist'!$K$6:$K$265,0))),"")</f>
        <v/>
      </c>
      <c r="C14" s="42" t="str">
        <f>IFERROR(IF(INDEX('8. Checklist'!$B$6:$B$265,MATCH(8,'8. Checklist'!$K$6:$K$265,0))="","",INDEX('8. Checklist'!$B$6:$B$265,MATCH(8,'8. Checklist'!$K$6:$K$265,0))),"")</f>
        <v/>
      </c>
      <c r="D14" s="42" t="str">
        <f>IFERROR(IF(INDEX('8. Checklist'!$C$6:$C$265,MATCH(8,'8. Checklist'!$K$6:$K$265,0))="","",INDEX('8. Checklist'!$C$6:$C$265,MATCH(8,'8. Checklist'!$K$6:$K$265,0))),"")</f>
        <v/>
      </c>
      <c r="E14" s="73" t="str">
        <f>IFERROR(IF(INDEX('8. Checklist'!$D$6:$D$265,MATCH(8,'8. Checklist'!$K$6:$K$265,0))="","",INDEX('8. Checklist'!$D$6:$D$265,MATCH(8,'8. Checklist'!$K$6:$K$265,0))),"")</f>
        <v/>
      </c>
      <c r="F14" s="69" t="str">
        <f>IFERROR(IF(INDEX('8. Checklist'!$G$6:$G$265,MATCH(8,'8. Checklist'!$K$6:$K$265,0))="","",INDEX('8. Checklist'!$G$6:$G$265,MATCH(8,'8. Checklist'!$K$6:$K$265,0))),"")</f>
        <v/>
      </c>
      <c r="G14" s="42" t="str">
        <f>IFERROR(IF(INDEX('8. Checklist'!$E$6:$E$265,MATCH(8,'8. Checklist'!$K$6:$K$265,0))="","",INDEX('8. Checklist'!$E$6:$E$265,MATCH(8,'8. Checklist'!$K$6:$K$265,0))),"")</f>
        <v/>
      </c>
    </row>
    <row r="15" spans="1:7" x14ac:dyDescent="0.45">
      <c r="A15" s="66" t="str">
        <f>IF(COUNT('8. Checklist'!$K$6:$K$265)&lt;9,"",9)</f>
        <v/>
      </c>
      <c r="B15" s="48" t="str">
        <f>IFERROR(IF(INDEX('8. Checklist'!$A$6:$A$265,MATCH(9,'8. Checklist'!$K$6:$K$265,0))="","",INDEX('8. Checklist'!$A$6:$A$265,MATCH(9,'8. Checklist'!$K$6:$K$265,0))),"")</f>
        <v/>
      </c>
      <c r="C15" s="48" t="str">
        <f>IFERROR(IF(INDEX('8. Checklist'!$B$6:$B$265,MATCH(9,'8. Checklist'!$K$6:$K$265,0))="","",INDEX('8. Checklist'!$B$6:$B$265,MATCH(9,'8. Checklist'!$K$6:$K$265,0))),"")</f>
        <v/>
      </c>
      <c r="D15" s="48" t="str">
        <f>IFERROR(IF(INDEX('8. Checklist'!$C$6:$C$265,MATCH(9,'8. Checklist'!$K$6:$K$265,0))="","",INDEX('8. Checklist'!$C$6:$C$265,MATCH(9,'8. Checklist'!$K$6:$K$265,0))),"")</f>
        <v/>
      </c>
      <c r="E15" s="30" t="str">
        <f>IFERROR(IF(INDEX('8. Checklist'!$D$6:$D$265,MATCH(9,'8. Checklist'!$K$6:$K$265,0))="","",INDEX('8. Checklist'!$D$6:$D$265,MATCH(9,'8. Checklist'!$K$6:$K$265,0))),"")</f>
        <v/>
      </c>
      <c r="F15" s="67" t="str">
        <f>IFERROR(IF(INDEX('8. Checklist'!$G$6:$G$265,MATCH(9,'8. Checklist'!$K$6:$K$265,0))="","",INDEX('8. Checklist'!$G$6:$G$265,MATCH(9,'8. Checklist'!$K$6:$K$265,0))),"")</f>
        <v/>
      </c>
      <c r="G15" s="48" t="str">
        <f>IFERROR(IF(INDEX('8. Checklist'!$E$6:$E$265,MATCH(9,'8. Checklist'!$K$6:$K$265,0))="","",INDEX('8. Checklist'!$E$6:$E$265,MATCH(9,'8. Checklist'!$K$6:$K$265,0))),"")</f>
        <v/>
      </c>
    </row>
    <row r="16" spans="1:7" x14ac:dyDescent="0.45">
      <c r="A16" s="68" t="str">
        <f>IF(COUNT('8. Checklist'!$K$6:$K$265)&lt;10,"",10)</f>
        <v/>
      </c>
      <c r="B16" s="42" t="str">
        <f>IFERROR(IF(INDEX('8. Checklist'!$A$6:$A$265,MATCH(10,'8. Checklist'!$K$6:$K$265,0))="","",INDEX('8. Checklist'!$A$6:$A$265,MATCH(10,'8. Checklist'!$K$6:$K$265,0))),"")</f>
        <v/>
      </c>
      <c r="C16" s="42" t="str">
        <f>IFERROR(IF(INDEX('8. Checklist'!$B$6:$B$265,MATCH(10,'8. Checklist'!$K$6:$K$265,0))="","",INDEX('8. Checklist'!$B$6:$B$265,MATCH(10,'8. Checklist'!$K$6:$K$265,0))),"")</f>
        <v/>
      </c>
      <c r="D16" s="42" t="str">
        <f>IFERROR(IF(INDEX('8. Checklist'!$C$6:$C$265,MATCH(10,'8. Checklist'!$K$6:$K$265,0))="","",INDEX('8. Checklist'!$C$6:$C$265,MATCH(10,'8. Checklist'!$K$6:$K$265,0))),"")</f>
        <v/>
      </c>
      <c r="E16" s="73" t="str">
        <f>IFERROR(IF(INDEX('8. Checklist'!$D$6:$D$265,MATCH(10,'8. Checklist'!$K$6:$K$265,0))="","",INDEX('8. Checklist'!$D$6:$D$265,MATCH(10,'8. Checklist'!$K$6:$K$265,0))),"")</f>
        <v/>
      </c>
      <c r="F16" s="69" t="str">
        <f>IFERROR(IF(INDEX('8. Checklist'!$G$6:$G$265,MATCH(10,'8. Checklist'!$K$6:$K$265,0))="","",INDEX('8. Checklist'!$G$6:$G$265,MATCH(10,'8. Checklist'!$K$6:$K$265,0))),"")</f>
        <v/>
      </c>
      <c r="G16" s="42" t="str">
        <f>IFERROR(IF(INDEX('8. Checklist'!$E$6:$E$265,MATCH(10,'8. Checklist'!$K$6:$K$265,0))="","",INDEX('8. Checklist'!$E$6:$E$265,MATCH(10,'8. Checklist'!$K$6:$K$265,0))),"")</f>
        <v/>
      </c>
    </row>
    <row r="17" spans="1:7" x14ac:dyDescent="0.45">
      <c r="A17" s="66" t="str">
        <f>IF(COUNT('8. Checklist'!$K$6:$K$265)&lt;11,"",11)</f>
        <v/>
      </c>
      <c r="B17" s="48" t="str">
        <f>IFERROR(IF(INDEX('8. Checklist'!$A$6:$A$265,MATCH(11,'8. Checklist'!$K$6:$K$265,0))="","",INDEX('8. Checklist'!$A$6:$A$265,MATCH(11,'8. Checklist'!$K$6:$K$265,0))),"")</f>
        <v/>
      </c>
      <c r="C17" s="48" t="str">
        <f>IFERROR(IF(INDEX('8. Checklist'!$B$6:$B$265,MATCH(11,'8. Checklist'!$K$6:$K$265,0))="","",INDEX('8. Checklist'!$B$6:$B$265,MATCH(11,'8. Checklist'!$K$6:$K$265,0))),"")</f>
        <v/>
      </c>
      <c r="D17" s="48" t="str">
        <f>IFERROR(IF(INDEX('8. Checklist'!$C$6:$C$265,MATCH(11,'8. Checklist'!$K$6:$K$265,0))="","",INDEX('8. Checklist'!$C$6:$C$265,MATCH(11,'8. Checklist'!$K$6:$K$265,0))),"")</f>
        <v/>
      </c>
      <c r="E17" s="30" t="str">
        <f>IFERROR(IF(INDEX('8. Checklist'!$D$6:$D$265,MATCH(11,'8. Checklist'!$K$6:$K$265,0))="","",INDEX('8. Checklist'!$D$6:$D$265,MATCH(11,'8. Checklist'!$K$6:$K$265,0))),"")</f>
        <v/>
      </c>
      <c r="F17" s="67" t="str">
        <f>IFERROR(IF(INDEX('8. Checklist'!$G$6:$G$265,MATCH(11,'8. Checklist'!$K$6:$K$265,0))="","",INDEX('8. Checklist'!$G$6:$G$265,MATCH(11,'8. Checklist'!$K$6:$K$265,0))),"")</f>
        <v/>
      </c>
      <c r="G17" s="48" t="str">
        <f>IFERROR(IF(INDEX('8. Checklist'!$E$6:$E$265,MATCH(11,'8. Checklist'!$K$6:$K$265,0))="","",INDEX('8. Checklist'!$E$6:$E$265,MATCH(11,'8. Checklist'!$K$6:$K$265,0))),"")</f>
        <v/>
      </c>
    </row>
    <row r="18" spans="1:7" x14ac:dyDescent="0.45">
      <c r="A18" s="68" t="str">
        <f>IF(COUNT('8. Checklist'!$K$6:$K$265)&lt;12,"",12)</f>
        <v/>
      </c>
      <c r="B18" s="42" t="str">
        <f>IFERROR(IF(INDEX('8. Checklist'!$A$6:$A$265,MATCH(12,'8. Checklist'!$K$6:$K$265,0))="","",INDEX('8. Checklist'!$A$6:$A$265,MATCH(12,'8. Checklist'!$K$6:$K$265,0))),"")</f>
        <v/>
      </c>
      <c r="C18" s="42" t="str">
        <f>IFERROR(IF(INDEX('8. Checklist'!$B$6:$B$265,MATCH(12,'8. Checklist'!$K$6:$K$265,0))="","",INDEX('8. Checklist'!$B$6:$B$265,MATCH(12,'8. Checklist'!$K$6:$K$265,0))),"")</f>
        <v/>
      </c>
      <c r="D18" s="42" t="str">
        <f>IFERROR(IF(INDEX('8. Checklist'!$C$6:$C$265,MATCH(12,'8. Checklist'!$K$6:$K$265,0))="","",INDEX('8. Checklist'!$C$6:$C$265,MATCH(12,'8. Checklist'!$K$6:$K$265,0))),"")</f>
        <v/>
      </c>
      <c r="E18" s="73" t="str">
        <f>IFERROR(IF(INDEX('8. Checklist'!$D$6:$D$265,MATCH(12,'8. Checklist'!$K$6:$K$265,0))="","",INDEX('8. Checklist'!$D$6:$D$265,MATCH(12,'8. Checklist'!$K$6:$K$265,0))),"")</f>
        <v/>
      </c>
      <c r="F18" s="69" t="str">
        <f>IFERROR(IF(INDEX('8. Checklist'!$G$6:$G$265,MATCH(12,'8. Checklist'!$K$6:$K$265,0))="","",INDEX('8. Checklist'!$G$6:$G$265,MATCH(12,'8. Checklist'!$K$6:$K$265,0))),"")</f>
        <v/>
      </c>
      <c r="G18" s="42" t="str">
        <f>IFERROR(IF(INDEX('8. Checklist'!$E$6:$E$265,MATCH(12,'8. Checklist'!$K$6:$K$265,0))="","",INDEX('8. Checklist'!$E$6:$E$265,MATCH(12,'8. Checklist'!$K$6:$K$265,0))),"")</f>
        <v/>
      </c>
    </row>
    <row r="19" spans="1:7" x14ac:dyDescent="0.45">
      <c r="A19" s="66" t="str">
        <f>IF(COUNT('8. Checklist'!$K$6:$K$265)&lt;13,"",13)</f>
        <v/>
      </c>
      <c r="B19" s="48" t="str">
        <f>IFERROR(IF(INDEX('8. Checklist'!$A$6:$A$265,MATCH(13,'8. Checklist'!$K$6:$K$265,0))="","",INDEX('8. Checklist'!$A$6:$A$265,MATCH(13,'8. Checklist'!$K$6:$K$265,0))),"")</f>
        <v/>
      </c>
      <c r="C19" s="48" t="str">
        <f>IFERROR(IF(INDEX('8. Checklist'!$B$6:$B$265,MATCH(13,'8. Checklist'!$K$6:$K$265,0))="","",INDEX('8. Checklist'!$B$6:$B$265,MATCH(13,'8. Checklist'!$K$6:$K$265,0))),"")</f>
        <v/>
      </c>
      <c r="D19" s="48" t="str">
        <f>IFERROR(IF(INDEX('8. Checklist'!$C$6:$C$265,MATCH(13,'8. Checklist'!$K$6:$K$265,0))="","",INDEX('8. Checklist'!$C$6:$C$265,MATCH(13,'8. Checklist'!$K$6:$K$265,0))),"")</f>
        <v/>
      </c>
      <c r="E19" s="30" t="str">
        <f>IFERROR(IF(INDEX('8. Checklist'!$D$6:$D$265,MATCH(13,'8. Checklist'!$K$6:$K$265,0))="","",INDEX('8. Checklist'!$D$6:$D$265,MATCH(13,'8. Checklist'!$K$6:$K$265,0))),"")</f>
        <v/>
      </c>
      <c r="F19" s="67" t="str">
        <f>IFERROR(IF(INDEX('8. Checklist'!$G$6:$G$265,MATCH(13,'8. Checklist'!$K$6:$K$265,0))="","",INDEX('8. Checklist'!$G$6:$G$265,MATCH(13,'8. Checklist'!$K$6:$K$265,0))),"")</f>
        <v/>
      </c>
      <c r="G19" s="48" t="str">
        <f>IFERROR(IF(INDEX('8. Checklist'!$E$6:$E$265,MATCH(13,'8. Checklist'!$K$6:$K$265,0))="","",INDEX('8. Checklist'!$E$6:$E$265,MATCH(13,'8. Checklist'!$K$6:$K$265,0))),"")</f>
        <v/>
      </c>
    </row>
    <row r="20" spans="1:7" x14ac:dyDescent="0.45">
      <c r="A20" s="68" t="str">
        <f>IF(COUNT('8. Checklist'!$K$6:$K$265)&lt;14,"",14)</f>
        <v/>
      </c>
      <c r="B20" s="42" t="str">
        <f>IFERROR(IF(INDEX('8. Checklist'!$A$6:$A$265,MATCH(14,'8. Checklist'!$K$6:$K$265,0))="","",INDEX('8. Checklist'!$A$6:$A$265,MATCH(14,'8. Checklist'!$K$6:$K$265,0))),"")</f>
        <v/>
      </c>
      <c r="C20" s="42" t="str">
        <f>IFERROR(IF(INDEX('8. Checklist'!$B$6:$B$265,MATCH(14,'8. Checklist'!$K$6:$K$265,0))="","",INDEX('8. Checklist'!$B$6:$B$265,MATCH(14,'8. Checklist'!$K$6:$K$265,0))),"")</f>
        <v/>
      </c>
      <c r="D20" s="42" t="str">
        <f>IFERROR(IF(INDEX('8. Checklist'!$C$6:$C$265,MATCH(14,'8. Checklist'!$K$6:$K$265,0))="","",INDEX('8. Checklist'!$C$6:$C$265,MATCH(14,'8. Checklist'!$K$6:$K$265,0))),"")</f>
        <v/>
      </c>
      <c r="E20" s="73" t="str">
        <f>IFERROR(IF(INDEX('8. Checklist'!$D$6:$D$265,MATCH(14,'8. Checklist'!$K$6:$K$265,0))="","",INDEX('8. Checklist'!$D$6:$D$265,MATCH(14,'8. Checklist'!$K$6:$K$265,0))),"")</f>
        <v/>
      </c>
      <c r="F20" s="69" t="str">
        <f>IFERROR(IF(INDEX('8. Checklist'!$G$6:$G$265,MATCH(14,'8. Checklist'!$K$6:$K$265,0))="","",INDEX('8. Checklist'!$G$6:$G$265,MATCH(14,'8. Checklist'!$K$6:$K$265,0))),"")</f>
        <v/>
      </c>
      <c r="G20" s="42" t="str">
        <f>IFERROR(IF(INDEX('8. Checklist'!$E$6:$E$265,MATCH(14,'8. Checklist'!$K$6:$K$265,0))="","",INDEX('8. Checklist'!$E$6:$E$265,MATCH(14,'8. Checklist'!$K$6:$K$265,0))),"")</f>
        <v/>
      </c>
    </row>
    <row r="21" spans="1:7" x14ac:dyDescent="0.45">
      <c r="A21" s="66" t="str">
        <f>IF(COUNT('8. Checklist'!$K$6:$K$265)&lt;15,"",15)</f>
        <v/>
      </c>
      <c r="B21" s="48" t="str">
        <f>IFERROR(IF(INDEX('8. Checklist'!$A$6:$A$265,MATCH(15,'8. Checklist'!$K$6:$K$265,0))="","",INDEX('8. Checklist'!$A$6:$A$265,MATCH(15,'8. Checklist'!$K$6:$K$265,0))),"")</f>
        <v/>
      </c>
      <c r="C21" s="48" t="str">
        <f>IFERROR(IF(INDEX('8. Checklist'!$B$6:$B$265,MATCH(15,'8. Checklist'!$K$6:$K$265,0))="","",INDEX('8. Checklist'!$B$6:$B$265,MATCH(15,'8. Checklist'!$K$6:$K$265,0))),"")</f>
        <v/>
      </c>
      <c r="D21" s="48" t="str">
        <f>IFERROR(IF(INDEX('8. Checklist'!$C$6:$C$265,MATCH(15,'8. Checklist'!$K$6:$K$265,0))="","",INDEX('8. Checklist'!$C$6:$C$265,MATCH(15,'8. Checklist'!$K$6:$K$265,0))),"")</f>
        <v/>
      </c>
      <c r="E21" s="30" t="str">
        <f>IFERROR(IF(INDEX('8. Checklist'!$D$6:$D$265,MATCH(15,'8. Checklist'!$K$6:$K$265,0))="","",INDEX('8. Checklist'!$D$6:$D$265,MATCH(15,'8. Checklist'!$K$6:$K$265,0))),"")</f>
        <v/>
      </c>
      <c r="F21" s="67" t="str">
        <f>IFERROR(IF(INDEX('8. Checklist'!$G$6:$G$265,MATCH(15,'8. Checklist'!$K$6:$K$265,0))="","",INDEX('8. Checklist'!$G$6:$G$265,MATCH(15,'8. Checklist'!$K$6:$K$265,0))),"")</f>
        <v/>
      </c>
      <c r="G21" s="48" t="str">
        <f>IFERROR(IF(INDEX('8. Checklist'!$E$6:$E$265,MATCH(15,'8. Checklist'!$K$6:$K$265,0))="","",INDEX('8. Checklist'!$E$6:$E$265,MATCH(15,'8. Checklist'!$K$6:$K$265,0))),"")</f>
        <v/>
      </c>
    </row>
    <row r="22" spans="1:7" x14ac:dyDescent="0.45">
      <c r="A22" s="68" t="str">
        <f>IF(COUNT('8. Checklist'!$K$6:$K$265)&lt;16,"",16)</f>
        <v/>
      </c>
      <c r="B22" s="42" t="str">
        <f>IFERROR(IF(INDEX('8. Checklist'!$A$6:$A$265,MATCH(16,'8. Checklist'!$K$6:$K$265,0))="","",INDEX('8. Checklist'!$A$6:$A$265,MATCH(16,'8. Checklist'!$K$6:$K$265,0))),"")</f>
        <v/>
      </c>
      <c r="C22" s="42" t="str">
        <f>IFERROR(IF(INDEX('8. Checklist'!$B$6:$B$265,MATCH(16,'8. Checklist'!$K$6:$K$265,0))="","",INDEX('8. Checklist'!$B$6:$B$265,MATCH(16,'8. Checklist'!$K$6:$K$265,0))),"")</f>
        <v/>
      </c>
      <c r="D22" s="42" t="str">
        <f>IFERROR(IF(INDEX('8. Checklist'!$C$6:$C$265,MATCH(16,'8. Checklist'!$K$6:$K$265,0))="","",INDEX('8. Checklist'!$C$6:$C$265,MATCH(16,'8. Checklist'!$K$6:$K$265,0))),"")</f>
        <v/>
      </c>
      <c r="E22" s="73" t="str">
        <f>IFERROR(IF(INDEX('8. Checklist'!$D$6:$D$265,MATCH(16,'8. Checklist'!$K$6:$K$265,0))="","",INDEX('8. Checklist'!$D$6:$D$265,MATCH(16,'8. Checklist'!$K$6:$K$265,0))),"")</f>
        <v/>
      </c>
      <c r="F22" s="69" t="str">
        <f>IFERROR(IF(INDEX('8. Checklist'!$G$6:$G$265,MATCH(16,'8. Checklist'!$K$6:$K$265,0))="","",INDEX('8. Checklist'!$G$6:$G$265,MATCH(16,'8. Checklist'!$K$6:$K$265,0))),"")</f>
        <v/>
      </c>
      <c r="G22" s="42" t="str">
        <f>IFERROR(IF(INDEX('8. Checklist'!$E$6:$E$265,MATCH(16,'8. Checklist'!$K$6:$K$265,0))="","",INDEX('8. Checklist'!$E$6:$E$265,MATCH(16,'8. Checklist'!$K$6:$K$265,0))),"")</f>
        <v/>
      </c>
    </row>
    <row r="23" spans="1:7" x14ac:dyDescent="0.45">
      <c r="A23" s="66" t="str">
        <f>IF(COUNT('8. Checklist'!$K$6:$K$265)&lt;17,"",17)</f>
        <v/>
      </c>
      <c r="B23" s="48" t="str">
        <f>IFERROR(IF(INDEX('8. Checklist'!$A$6:$A$265,MATCH(17,'8. Checklist'!$K$6:$K$265,0))="","",INDEX('8. Checklist'!$A$6:$A$265,MATCH(17,'8. Checklist'!$K$6:$K$265,0))),"")</f>
        <v/>
      </c>
      <c r="C23" s="48" t="str">
        <f>IFERROR(IF(INDEX('8. Checklist'!$B$6:$B$265,MATCH(17,'8. Checklist'!$K$6:$K$265,0))="","",INDEX('8. Checklist'!$B$6:$B$265,MATCH(17,'8. Checklist'!$K$6:$K$265,0))),"")</f>
        <v/>
      </c>
      <c r="D23" s="48" t="str">
        <f>IFERROR(IF(INDEX('8. Checklist'!$C$6:$C$265,MATCH(17,'8. Checklist'!$K$6:$K$265,0))="","",INDEX('8. Checklist'!$C$6:$C$265,MATCH(17,'8. Checklist'!$K$6:$K$265,0))),"")</f>
        <v/>
      </c>
      <c r="E23" s="30" t="str">
        <f>IFERROR(IF(INDEX('8. Checklist'!$D$6:$D$265,MATCH(17,'8. Checklist'!$K$6:$K$265,0))="","",INDEX('8. Checklist'!$D$6:$D$265,MATCH(17,'8. Checklist'!$K$6:$K$265,0))),"")</f>
        <v/>
      </c>
      <c r="F23" s="67" t="str">
        <f>IFERROR(IF(INDEX('8. Checklist'!$G$6:$G$265,MATCH(17,'8. Checklist'!$K$6:$K$265,0))="","",INDEX('8. Checklist'!$G$6:$G$265,MATCH(17,'8. Checklist'!$K$6:$K$265,0))),"")</f>
        <v/>
      </c>
      <c r="G23" s="48" t="str">
        <f>IFERROR(IF(INDEX('8. Checklist'!$E$6:$E$265,MATCH(17,'8. Checklist'!$K$6:$K$265,0))="","",INDEX('8. Checklist'!$E$6:$E$265,MATCH(17,'8. Checklist'!$K$6:$K$265,0))),"")</f>
        <v/>
      </c>
    </row>
    <row r="24" spans="1:7" x14ac:dyDescent="0.45">
      <c r="A24" s="68" t="str">
        <f>IF(COUNT('8. Checklist'!$K$6:$K$265)&lt;18,"",18)</f>
        <v/>
      </c>
      <c r="B24" s="42" t="str">
        <f>IFERROR(IF(INDEX('8. Checklist'!$A$6:$A$265,MATCH(18,'8. Checklist'!$K$6:$K$265,0))="","",INDEX('8. Checklist'!$A$6:$A$265,MATCH(18,'8. Checklist'!$K$6:$K$265,0))),"")</f>
        <v/>
      </c>
      <c r="C24" s="42" t="str">
        <f>IFERROR(IF(INDEX('8. Checklist'!$B$6:$B$265,MATCH(18,'8. Checklist'!$K$6:$K$265,0))="","",INDEX('8. Checklist'!$B$6:$B$265,MATCH(18,'8. Checklist'!$K$6:$K$265,0))),"")</f>
        <v/>
      </c>
      <c r="D24" s="42" t="str">
        <f>IFERROR(IF(INDEX('8. Checklist'!$C$6:$C$265,MATCH(18,'8. Checklist'!$K$6:$K$265,0))="","",INDEX('8. Checklist'!$C$6:$C$265,MATCH(18,'8. Checklist'!$K$6:$K$265,0))),"")</f>
        <v/>
      </c>
      <c r="E24" s="73" t="str">
        <f>IFERROR(IF(INDEX('8. Checklist'!$D$6:$D$265,MATCH(18,'8. Checklist'!$K$6:$K$265,0))="","",INDEX('8. Checklist'!$D$6:$D$265,MATCH(18,'8. Checklist'!$K$6:$K$265,0))),"")</f>
        <v/>
      </c>
      <c r="F24" s="69" t="str">
        <f>IFERROR(IF(INDEX('8. Checklist'!$G$6:$G$265,MATCH(18,'8. Checklist'!$K$6:$K$265,0))="","",INDEX('8. Checklist'!$G$6:$G$265,MATCH(18,'8. Checklist'!$K$6:$K$265,0))),"")</f>
        <v/>
      </c>
      <c r="G24" s="42" t="str">
        <f>IFERROR(IF(INDEX('8. Checklist'!$E$6:$E$265,MATCH(18,'8. Checklist'!$K$6:$K$265,0))="","",INDEX('8. Checklist'!$E$6:$E$265,MATCH(18,'8. Checklist'!$K$6:$K$265,0))),"")</f>
        <v/>
      </c>
    </row>
    <row r="25" spans="1:7" x14ac:dyDescent="0.45">
      <c r="A25" s="66" t="str">
        <f>IF(COUNT('8. Checklist'!$K$6:$K$265)&lt;19,"",19)</f>
        <v/>
      </c>
      <c r="B25" s="48" t="str">
        <f>IFERROR(IF(INDEX('8. Checklist'!$A$6:$A$265,MATCH(19,'8. Checklist'!$K$6:$K$265,0))="","",INDEX('8. Checklist'!$A$6:$A$265,MATCH(19,'8. Checklist'!$K$6:$K$265,0))),"")</f>
        <v/>
      </c>
      <c r="C25" s="48" t="str">
        <f>IFERROR(IF(INDEX('8. Checklist'!$B$6:$B$265,MATCH(19,'8. Checklist'!$K$6:$K$265,0))="","",INDEX('8. Checklist'!$B$6:$B$265,MATCH(19,'8. Checklist'!$K$6:$K$265,0))),"")</f>
        <v/>
      </c>
      <c r="D25" s="48" t="str">
        <f>IFERROR(IF(INDEX('8. Checklist'!$C$6:$C$265,MATCH(19,'8. Checklist'!$K$6:$K$265,0))="","",INDEX('8. Checklist'!$C$6:$C$265,MATCH(19,'8. Checklist'!$K$6:$K$265,0))),"")</f>
        <v/>
      </c>
      <c r="E25" s="30" t="str">
        <f>IFERROR(IF(INDEX('8. Checklist'!$D$6:$D$265,MATCH(19,'8. Checklist'!$K$6:$K$265,0))="","",INDEX('8. Checklist'!$D$6:$D$265,MATCH(19,'8. Checklist'!$K$6:$K$265,0))),"")</f>
        <v/>
      </c>
      <c r="F25" s="67" t="str">
        <f>IFERROR(IF(INDEX('8. Checklist'!$G$6:$G$265,MATCH(19,'8. Checklist'!$K$6:$K$265,0))="","",INDEX('8. Checklist'!$G$6:$G$265,MATCH(19,'8. Checklist'!$K$6:$K$265,0))),"")</f>
        <v/>
      </c>
      <c r="G25" s="48" t="str">
        <f>IFERROR(IF(INDEX('8. Checklist'!$E$6:$E$265,MATCH(19,'8. Checklist'!$K$6:$K$265,0))="","",INDEX('8. Checklist'!$E$6:$E$265,MATCH(19,'8. Checklist'!$K$6:$K$265,0))),"")</f>
        <v/>
      </c>
    </row>
    <row r="26" spans="1:7" x14ac:dyDescent="0.45">
      <c r="A26" s="68" t="str">
        <f>IF(COUNT('8. Checklist'!$K$6:$K$265)&lt;20,"",20)</f>
        <v/>
      </c>
      <c r="B26" s="42" t="str">
        <f>IFERROR(IF(INDEX('8. Checklist'!$A$6:$A$265,MATCH(20,'8. Checklist'!$K$6:$K$265,0))="","",INDEX('8. Checklist'!$A$6:$A$265,MATCH(20,'8. Checklist'!$K$6:$K$265,0))),"")</f>
        <v/>
      </c>
      <c r="C26" s="42" t="str">
        <f>IFERROR(IF(INDEX('8. Checklist'!$B$6:$B$265,MATCH(20,'8. Checklist'!$K$6:$K$265,0))="","",INDEX('8. Checklist'!$B$6:$B$265,MATCH(20,'8. Checklist'!$K$6:$K$265,0))),"")</f>
        <v/>
      </c>
      <c r="D26" s="42" t="str">
        <f>IFERROR(IF(INDEX('8. Checklist'!$C$6:$C$265,MATCH(20,'8. Checklist'!$K$6:$K$265,0))="","",INDEX('8. Checklist'!$C$6:$C$265,MATCH(20,'8. Checklist'!$K$6:$K$265,0))),"")</f>
        <v/>
      </c>
      <c r="E26" s="73" t="str">
        <f>IFERROR(IF(INDEX('8. Checklist'!$D$6:$D$265,MATCH(20,'8. Checklist'!$K$6:$K$265,0))="","",INDEX('8. Checklist'!$D$6:$D$265,MATCH(20,'8. Checklist'!$K$6:$K$265,0))),"")</f>
        <v/>
      </c>
      <c r="F26" s="69" t="str">
        <f>IFERROR(IF(INDEX('8. Checklist'!$G$6:$G$265,MATCH(20,'8. Checklist'!$K$6:$K$265,0))="","",INDEX('8. Checklist'!$G$6:$G$265,MATCH(20,'8. Checklist'!$K$6:$K$265,0))),"")</f>
        <v/>
      </c>
      <c r="G26" s="42" t="str">
        <f>IFERROR(IF(INDEX('8. Checklist'!$E$6:$E$265,MATCH(20,'8. Checklist'!$K$6:$K$265,0))="","",INDEX('8. Checklist'!$E$6:$E$265,MATCH(20,'8. Checklist'!$K$6:$K$265,0))),"")</f>
        <v/>
      </c>
    </row>
    <row r="27" spans="1:7" x14ac:dyDescent="0.45">
      <c r="A27" s="66" t="str">
        <f>IF(COUNT('8. Checklist'!$K$6:$K$265)&lt;21,"",21)</f>
        <v/>
      </c>
      <c r="B27" s="48" t="str">
        <f>IFERROR(IF(INDEX('8. Checklist'!$A$6:$A$265,MATCH(21,'8. Checklist'!$K$6:$K$265,0))="","",INDEX('8. Checklist'!$A$6:$A$265,MATCH(21,'8. Checklist'!$K$6:$K$265,0))),"")</f>
        <v/>
      </c>
      <c r="C27" s="48" t="str">
        <f>IFERROR(IF(INDEX('8. Checklist'!$B$6:$B$265,MATCH(21,'8. Checklist'!$K$6:$K$265,0))="","",INDEX('8. Checklist'!$B$6:$B$265,MATCH(21,'8. Checklist'!$K$6:$K$265,0))),"")</f>
        <v/>
      </c>
      <c r="D27" s="48" t="str">
        <f>IFERROR(IF(INDEX('8. Checklist'!$C$6:$C$265,MATCH(21,'8. Checklist'!$K$6:$K$265,0))="","",INDEX('8. Checklist'!$C$6:$C$265,MATCH(21,'8. Checklist'!$K$6:$K$265,0))),"")</f>
        <v/>
      </c>
      <c r="E27" s="30" t="str">
        <f>IFERROR(IF(INDEX('8. Checklist'!$D$6:$D$265,MATCH(21,'8. Checklist'!$K$6:$K$265,0))="","",INDEX('8. Checklist'!$D$6:$D$265,MATCH(21,'8. Checklist'!$K$6:$K$265,0))),"")</f>
        <v/>
      </c>
      <c r="F27" s="67" t="str">
        <f>IFERROR(IF(INDEX('8. Checklist'!$G$6:$G$265,MATCH(21,'8. Checklist'!$K$6:$K$265,0))="","",INDEX('8. Checklist'!$G$6:$G$265,MATCH(21,'8. Checklist'!$K$6:$K$265,0))),"")</f>
        <v/>
      </c>
      <c r="G27" s="48" t="str">
        <f>IFERROR(IF(INDEX('8. Checklist'!$E$6:$E$265,MATCH(21,'8. Checklist'!$K$6:$K$265,0))="","",INDEX('8. Checklist'!$E$6:$E$265,MATCH(21,'8. Checklist'!$K$6:$K$265,0))),"")</f>
        <v/>
      </c>
    </row>
    <row r="28" spans="1:7" x14ac:dyDescent="0.45">
      <c r="A28" s="68" t="str">
        <f>IF(COUNT('8. Checklist'!$K$6:$K$265)&lt;22,"",22)</f>
        <v/>
      </c>
      <c r="B28" s="42" t="str">
        <f>IFERROR(IF(INDEX('8. Checklist'!$A$6:$A$265,MATCH(22,'8. Checklist'!$K$6:$K$265,0))="","",INDEX('8. Checklist'!$A$6:$A$265,MATCH(22,'8. Checklist'!$K$6:$K$265,0))),"")</f>
        <v/>
      </c>
      <c r="C28" s="42" t="str">
        <f>IFERROR(IF(INDEX('8. Checklist'!$B$6:$B$265,MATCH(22,'8. Checklist'!$K$6:$K$265,0))="","",INDEX('8. Checklist'!$B$6:$B$265,MATCH(22,'8. Checklist'!$K$6:$K$265,0))),"")</f>
        <v/>
      </c>
      <c r="D28" s="42" t="str">
        <f>IFERROR(IF(INDEX('8. Checklist'!$C$6:$C$265,MATCH(22,'8. Checklist'!$K$6:$K$265,0))="","",INDEX('8. Checklist'!$C$6:$C$265,MATCH(22,'8. Checklist'!$K$6:$K$265,0))),"")</f>
        <v/>
      </c>
      <c r="E28" s="73" t="str">
        <f>IFERROR(IF(INDEX('8. Checklist'!$D$6:$D$265,MATCH(22,'8. Checklist'!$K$6:$K$265,0))="","",INDEX('8. Checklist'!$D$6:$D$265,MATCH(22,'8. Checklist'!$K$6:$K$265,0))),"")</f>
        <v/>
      </c>
      <c r="F28" s="69" t="str">
        <f>IFERROR(IF(INDEX('8. Checklist'!$G$6:$G$265,MATCH(22,'8. Checklist'!$K$6:$K$265,0))="","",INDEX('8. Checklist'!$G$6:$G$265,MATCH(22,'8. Checklist'!$K$6:$K$265,0))),"")</f>
        <v/>
      </c>
      <c r="G28" s="42" t="str">
        <f>IFERROR(IF(INDEX('8. Checklist'!$E$6:$E$265,MATCH(22,'8. Checklist'!$K$6:$K$265,0))="","",INDEX('8. Checklist'!$E$6:$E$265,MATCH(22,'8. Checklist'!$K$6:$K$265,0))),"")</f>
        <v/>
      </c>
    </row>
    <row r="29" spans="1:7" x14ac:dyDescent="0.45">
      <c r="A29" s="66" t="str">
        <f>IF(COUNT('8. Checklist'!$K$6:$K$265)&lt;23,"",23)</f>
        <v/>
      </c>
      <c r="B29" s="48" t="str">
        <f>IFERROR(IF(INDEX('8. Checklist'!$A$6:$A$265,MATCH(23,'8. Checklist'!$K$6:$K$265,0))="","",INDEX('8. Checklist'!$A$6:$A$265,MATCH(23,'8. Checklist'!$K$6:$K$265,0))),"")</f>
        <v/>
      </c>
      <c r="C29" s="48" t="str">
        <f>IFERROR(IF(INDEX('8. Checklist'!$B$6:$B$265,MATCH(23,'8. Checklist'!$K$6:$K$265,0))="","",INDEX('8. Checklist'!$B$6:$B$265,MATCH(23,'8. Checklist'!$K$6:$K$265,0))),"")</f>
        <v/>
      </c>
      <c r="D29" s="48" t="str">
        <f>IFERROR(IF(INDEX('8. Checklist'!$C$6:$C$265,MATCH(23,'8. Checklist'!$K$6:$K$265,0))="","",INDEX('8. Checklist'!$C$6:$C$265,MATCH(23,'8. Checklist'!$K$6:$K$265,0))),"")</f>
        <v/>
      </c>
      <c r="E29" s="30" t="str">
        <f>IFERROR(IF(INDEX('8. Checklist'!$D$6:$D$265,MATCH(23,'8. Checklist'!$K$6:$K$265,0))="","",INDEX('8. Checklist'!$D$6:$D$265,MATCH(23,'8. Checklist'!$K$6:$K$265,0))),"")</f>
        <v/>
      </c>
      <c r="F29" s="67" t="str">
        <f>IFERROR(IF(INDEX('8. Checklist'!$G$6:$G$265,MATCH(23,'8. Checklist'!$K$6:$K$265,0))="","",INDEX('8. Checklist'!$G$6:$G$265,MATCH(23,'8. Checklist'!$K$6:$K$265,0))),"")</f>
        <v/>
      </c>
      <c r="G29" s="48" t="str">
        <f>IFERROR(IF(INDEX('8. Checklist'!$E$6:$E$265,MATCH(23,'8. Checklist'!$K$6:$K$265,0))="","",INDEX('8. Checklist'!$E$6:$E$265,MATCH(23,'8. Checklist'!$K$6:$K$265,0))),"")</f>
        <v/>
      </c>
    </row>
    <row r="30" spans="1:7" x14ac:dyDescent="0.45">
      <c r="A30" s="68" t="str">
        <f>IF(COUNT('8. Checklist'!$K$6:$K$265)&lt;24,"",24)</f>
        <v/>
      </c>
      <c r="B30" s="42" t="str">
        <f>IFERROR(IF(INDEX('8. Checklist'!$A$6:$A$265,MATCH(24,'8. Checklist'!$K$6:$K$265,0))="","",INDEX('8. Checklist'!$A$6:$A$265,MATCH(24,'8. Checklist'!$K$6:$K$265,0))),"")</f>
        <v/>
      </c>
      <c r="C30" s="42" t="str">
        <f>IFERROR(IF(INDEX('8. Checklist'!$B$6:$B$265,MATCH(24,'8. Checklist'!$K$6:$K$265,0))="","",INDEX('8. Checklist'!$B$6:$B$265,MATCH(24,'8. Checklist'!$K$6:$K$265,0))),"")</f>
        <v/>
      </c>
      <c r="D30" s="42" t="str">
        <f>IFERROR(IF(INDEX('8. Checklist'!$C$6:$C$265,MATCH(24,'8. Checklist'!$K$6:$K$265,0))="","",INDEX('8. Checklist'!$C$6:$C$265,MATCH(24,'8. Checklist'!$K$6:$K$265,0))),"")</f>
        <v/>
      </c>
      <c r="E30" s="73" t="str">
        <f>IFERROR(IF(INDEX('8. Checklist'!$D$6:$D$265,MATCH(24,'8. Checklist'!$K$6:$K$265,0))="","",INDEX('8. Checklist'!$D$6:$D$265,MATCH(24,'8. Checklist'!$K$6:$K$265,0))),"")</f>
        <v/>
      </c>
      <c r="F30" s="69" t="str">
        <f>IFERROR(IF(INDEX('8. Checklist'!$G$6:$G$265,MATCH(24,'8. Checklist'!$K$6:$K$265,0))="","",INDEX('8. Checklist'!$G$6:$G$265,MATCH(24,'8. Checklist'!$K$6:$K$265,0))),"")</f>
        <v/>
      </c>
      <c r="G30" s="42" t="str">
        <f>IFERROR(IF(INDEX('8. Checklist'!$E$6:$E$265,MATCH(24,'8. Checklist'!$K$6:$K$265,0))="","",INDEX('8. Checklist'!$E$6:$E$265,MATCH(24,'8. Checklist'!$K$6:$K$265,0))),"")</f>
        <v/>
      </c>
    </row>
    <row r="31" spans="1:7" x14ac:dyDescent="0.45">
      <c r="A31" s="66" t="str">
        <f>IF(COUNT('8. Checklist'!$K$6:$K$265)&lt;25,"",25)</f>
        <v/>
      </c>
      <c r="B31" s="48" t="str">
        <f>IFERROR(IF(INDEX('8. Checklist'!$A$6:$A$265,MATCH(25,'8. Checklist'!$K$6:$K$265,0))="","",INDEX('8. Checklist'!$A$6:$A$265,MATCH(25,'8. Checklist'!$K$6:$K$265,0))),"")</f>
        <v/>
      </c>
      <c r="C31" s="48" t="str">
        <f>IFERROR(IF(INDEX('8. Checklist'!$B$6:$B$265,MATCH(25,'8. Checklist'!$K$6:$K$265,0))="","",INDEX('8. Checklist'!$B$6:$B$265,MATCH(25,'8. Checklist'!$K$6:$K$265,0))),"")</f>
        <v/>
      </c>
      <c r="D31" s="48" t="str">
        <f>IFERROR(IF(INDEX('8. Checklist'!$C$6:$C$265,MATCH(25,'8. Checklist'!$K$6:$K$265,0))="","",INDEX('8. Checklist'!$C$6:$C$265,MATCH(25,'8. Checklist'!$K$6:$K$265,0))),"")</f>
        <v/>
      </c>
      <c r="E31" s="30" t="str">
        <f>IFERROR(IF(INDEX('8. Checklist'!$D$6:$D$265,MATCH(25,'8. Checklist'!$K$6:$K$265,0))="","",INDEX('8. Checklist'!$D$6:$D$265,MATCH(25,'8. Checklist'!$K$6:$K$265,0))),"")</f>
        <v/>
      </c>
      <c r="F31" s="67" t="str">
        <f>IFERROR(IF(INDEX('8. Checklist'!$G$6:$G$265,MATCH(25,'8. Checklist'!$K$6:$K$265,0))="","",INDEX('8. Checklist'!$G$6:$G$265,MATCH(25,'8. Checklist'!$K$6:$K$265,0))),"")</f>
        <v/>
      </c>
      <c r="G31" s="48" t="str">
        <f>IFERROR(IF(INDEX('8. Checklist'!$E$6:$E$265,MATCH(25,'8. Checklist'!$K$6:$K$265,0))="","",INDEX('8. Checklist'!$E$6:$E$265,MATCH(25,'8. Checklist'!$K$6:$K$265,0))),"")</f>
        <v/>
      </c>
    </row>
    <row r="32" spans="1:7" x14ac:dyDescent="0.45">
      <c r="A32" s="68" t="str">
        <f>IF(COUNT('8. Checklist'!$K$6:$K$265)&lt;26,"",26)</f>
        <v/>
      </c>
      <c r="B32" s="42" t="str">
        <f>IFERROR(IF(INDEX('8. Checklist'!$A$6:$A$265,MATCH(26,'8. Checklist'!$K$6:$K$265,0))="","",INDEX('8. Checklist'!$A$6:$A$265,MATCH(26,'8. Checklist'!$K$6:$K$265,0))),"")</f>
        <v/>
      </c>
      <c r="C32" s="42" t="str">
        <f>IFERROR(IF(INDEX('8. Checklist'!$B$6:$B$265,MATCH(26,'8. Checklist'!$K$6:$K$265,0))="","",INDEX('8. Checklist'!$B$6:$B$265,MATCH(26,'8. Checklist'!$K$6:$K$265,0))),"")</f>
        <v/>
      </c>
      <c r="D32" s="42" t="str">
        <f>IFERROR(IF(INDEX('8. Checklist'!$C$6:$C$265,MATCH(26,'8. Checklist'!$K$6:$K$265,0))="","",INDEX('8. Checklist'!$C$6:$C$265,MATCH(26,'8. Checklist'!$K$6:$K$265,0))),"")</f>
        <v/>
      </c>
      <c r="E32" s="73" t="str">
        <f>IFERROR(IF(INDEX('8. Checklist'!$D$6:$D$265,MATCH(26,'8. Checklist'!$K$6:$K$265,0))="","",INDEX('8. Checklist'!$D$6:$D$265,MATCH(26,'8. Checklist'!$K$6:$K$265,0))),"")</f>
        <v/>
      </c>
      <c r="F32" s="69" t="str">
        <f>IFERROR(IF(INDEX('8. Checklist'!$G$6:$G$265,MATCH(26,'8. Checklist'!$K$6:$K$265,0))="","",INDEX('8. Checklist'!$G$6:$G$265,MATCH(26,'8. Checklist'!$K$6:$K$265,0))),"")</f>
        <v/>
      </c>
      <c r="G32" s="42" t="str">
        <f>IFERROR(IF(INDEX('8. Checklist'!$E$6:$E$265,MATCH(26,'8. Checklist'!$K$6:$K$265,0))="","",INDEX('8. Checklist'!$E$6:$E$265,MATCH(26,'8. Checklist'!$K$6:$K$265,0))),"")</f>
        <v/>
      </c>
    </row>
    <row r="33" spans="1:7" x14ac:dyDescent="0.45">
      <c r="A33" s="66" t="str">
        <f>IF(COUNT('8. Checklist'!$K$6:$K$265)&lt;27,"",27)</f>
        <v/>
      </c>
      <c r="B33" s="48" t="str">
        <f>IFERROR(IF(INDEX('8. Checklist'!$A$6:$A$265,MATCH(27,'8. Checklist'!$K$6:$K$265,0))="","",INDEX('8. Checklist'!$A$6:$A$265,MATCH(27,'8. Checklist'!$K$6:$K$265,0))),"")</f>
        <v/>
      </c>
      <c r="C33" s="48" t="str">
        <f>IFERROR(IF(INDEX('8. Checklist'!$B$6:$B$265,MATCH(27,'8. Checklist'!$K$6:$K$265,0))="","",INDEX('8. Checklist'!$B$6:$B$265,MATCH(27,'8. Checklist'!$K$6:$K$265,0))),"")</f>
        <v/>
      </c>
      <c r="D33" s="48" t="str">
        <f>IFERROR(IF(INDEX('8. Checklist'!$C$6:$C$265,MATCH(27,'8. Checklist'!$K$6:$K$265,0))="","",INDEX('8. Checklist'!$C$6:$C$265,MATCH(27,'8. Checklist'!$K$6:$K$265,0))),"")</f>
        <v/>
      </c>
      <c r="E33" s="30" t="str">
        <f>IFERROR(IF(INDEX('8. Checklist'!$D$6:$D$265,MATCH(27,'8. Checklist'!$K$6:$K$265,0))="","",INDEX('8. Checklist'!$D$6:$D$265,MATCH(27,'8. Checklist'!$K$6:$K$265,0))),"")</f>
        <v/>
      </c>
      <c r="F33" s="67" t="str">
        <f>IFERROR(IF(INDEX('8. Checklist'!$G$6:$G$265,MATCH(27,'8. Checklist'!$K$6:$K$265,0))="","",INDEX('8. Checklist'!$G$6:$G$265,MATCH(27,'8. Checklist'!$K$6:$K$265,0))),"")</f>
        <v/>
      </c>
      <c r="G33" s="48" t="str">
        <f>IFERROR(IF(INDEX('8. Checklist'!$E$6:$E$265,MATCH(27,'8. Checklist'!$K$6:$K$265,0))="","",INDEX('8. Checklist'!$E$6:$E$265,MATCH(27,'8. Checklist'!$K$6:$K$265,0))),"")</f>
        <v/>
      </c>
    </row>
    <row r="34" spans="1:7" x14ac:dyDescent="0.45">
      <c r="A34" s="68" t="str">
        <f>IF(COUNT('8. Checklist'!$K$6:$K$265)&lt;28,"",28)</f>
        <v/>
      </c>
      <c r="B34" s="42" t="str">
        <f>IFERROR(IF(INDEX('8. Checklist'!$A$6:$A$265,MATCH(28,'8. Checklist'!$K$6:$K$265,0))="","",INDEX('8. Checklist'!$A$6:$A$265,MATCH(28,'8. Checklist'!$K$6:$K$265,0))),"")</f>
        <v/>
      </c>
      <c r="C34" s="42" t="str">
        <f>IFERROR(IF(INDEX('8. Checklist'!$B$6:$B$265,MATCH(28,'8. Checklist'!$K$6:$K$265,0))="","",INDEX('8. Checklist'!$B$6:$B$265,MATCH(28,'8. Checklist'!$K$6:$K$265,0))),"")</f>
        <v/>
      </c>
      <c r="D34" s="42" t="str">
        <f>IFERROR(IF(INDEX('8. Checklist'!$C$6:$C$265,MATCH(28,'8. Checklist'!$K$6:$K$265,0))="","",INDEX('8. Checklist'!$C$6:$C$265,MATCH(28,'8. Checklist'!$K$6:$K$265,0))),"")</f>
        <v/>
      </c>
      <c r="E34" s="73" t="str">
        <f>IFERROR(IF(INDEX('8. Checklist'!$D$6:$D$265,MATCH(28,'8. Checklist'!$K$6:$K$265,0))="","",INDEX('8. Checklist'!$D$6:$D$265,MATCH(28,'8. Checklist'!$K$6:$K$265,0))),"")</f>
        <v/>
      </c>
      <c r="F34" s="69" t="str">
        <f>IFERROR(IF(INDEX('8. Checklist'!$G$6:$G$265,MATCH(28,'8. Checklist'!$K$6:$K$265,0))="","",INDEX('8. Checklist'!$G$6:$G$265,MATCH(28,'8. Checklist'!$K$6:$K$265,0))),"")</f>
        <v/>
      </c>
      <c r="G34" s="42" t="str">
        <f>IFERROR(IF(INDEX('8. Checklist'!$E$6:$E$265,MATCH(28,'8. Checklist'!$K$6:$K$265,0))="","",INDEX('8. Checklist'!$E$6:$E$265,MATCH(28,'8. Checklist'!$K$6:$K$265,0))),"")</f>
        <v/>
      </c>
    </row>
    <row r="35" spans="1:7" x14ac:dyDescent="0.45">
      <c r="A35" s="66" t="str">
        <f>IF(COUNT('8. Checklist'!$K$6:$K$265)&lt;29,"",29)</f>
        <v/>
      </c>
      <c r="B35" s="48" t="str">
        <f>IFERROR(IF(INDEX('8. Checklist'!$A$6:$A$265,MATCH(29,'8. Checklist'!$K$6:$K$265,0))="","",INDEX('8. Checklist'!$A$6:$A$265,MATCH(29,'8. Checklist'!$K$6:$K$265,0))),"")</f>
        <v/>
      </c>
      <c r="C35" s="48" t="str">
        <f>IFERROR(IF(INDEX('8. Checklist'!$B$6:$B$265,MATCH(29,'8. Checklist'!$K$6:$K$265,0))="","",INDEX('8. Checklist'!$B$6:$B$265,MATCH(29,'8. Checklist'!$K$6:$K$265,0))),"")</f>
        <v/>
      </c>
      <c r="D35" s="48" t="str">
        <f>IFERROR(IF(INDEX('8. Checklist'!$C$6:$C$265,MATCH(29,'8. Checklist'!$K$6:$K$265,0))="","",INDEX('8. Checklist'!$C$6:$C$265,MATCH(29,'8. Checklist'!$K$6:$K$265,0))),"")</f>
        <v/>
      </c>
      <c r="E35" s="30" t="str">
        <f>IFERROR(IF(INDEX('8. Checklist'!$D$6:$D$265,MATCH(29,'8. Checklist'!$K$6:$K$265,0))="","",INDEX('8. Checklist'!$D$6:$D$265,MATCH(29,'8. Checklist'!$K$6:$K$265,0))),"")</f>
        <v/>
      </c>
      <c r="F35" s="67" t="str">
        <f>IFERROR(IF(INDEX('8. Checklist'!$G$6:$G$265,MATCH(29,'8. Checklist'!$K$6:$K$265,0))="","",INDEX('8. Checklist'!$G$6:$G$265,MATCH(29,'8. Checklist'!$K$6:$K$265,0))),"")</f>
        <v/>
      </c>
      <c r="G35" s="48" t="str">
        <f>IFERROR(IF(INDEX('8. Checklist'!$E$6:$E$265,MATCH(29,'8. Checklist'!$K$6:$K$265,0))="","",INDEX('8. Checklist'!$E$6:$E$265,MATCH(29,'8. Checklist'!$K$6:$K$265,0))),"")</f>
        <v/>
      </c>
    </row>
    <row r="36" spans="1:7" x14ac:dyDescent="0.45">
      <c r="A36" s="68" t="str">
        <f>IF(COUNT('8. Checklist'!$K$6:$K$265)&lt;30,"",30)</f>
        <v/>
      </c>
      <c r="B36" s="42" t="str">
        <f>IFERROR(IF(INDEX('8. Checklist'!$A$6:$A$265,MATCH(30,'8. Checklist'!$K$6:$K$265,0))="","",INDEX('8. Checklist'!$A$6:$A$265,MATCH(30,'8. Checklist'!$K$6:$K$265,0))),"")</f>
        <v/>
      </c>
      <c r="C36" s="42" t="str">
        <f>IFERROR(IF(INDEX('8. Checklist'!$B$6:$B$265,MATCH(30,'8. Checklist'!$K$6:$K$265,0))="","",INDEX('8. Checklist'!$B$6:$B$265,MATCH(30,'8. Checklist'!$K$6:$K$265,0))),"")</f>
        <v/>
      </c>
      <c r="D36" s="42" t="str">
        <f>IFERROR(IF(INDEX('8. Checklist'!$C$6:$C$265,MATCH(30,'8. Checklist'!$K$6:$K$265,0))="","",INDEX('8. Checklist'!$C$6:$C$265,MATCH(30,'8. Checklist'!$K$6:$K$265,0))),"")</f>
        <v/>
      </c>
      <c r="E36" s="73" t="str">
        <f>IFERROR(IF(INDEX('8. Checklist'!$D$6:$D$265,MATCH(30,'8. Checklist'!$K$6:$K$265,0))="","",INDEX('8. Checklist'!$D$6:$D$265,MATCH(30,'8. Checklist'!$K$6:$K$265,0))),"")</f>
        <v/>
      </c>
      <c r="F36" s="69" t="str">
        <f>IFERROR(IF(INDEX('8. Checklist'!$G$6:$G$265,MATCH(30,'8. Checklist'!$K$6:$K$265,0))="","",INDEX('8. Checklist'!$G$6:$G$265,MATCH(30,'8. Checklist'!$K$6:$K$265,0))),"")</f>
        <v/>
      </c>
      <c r="G36" s="42" t="str">
        <f>IFERROR(IF(INDEX('8. Checklist'!$E$6:$E$265,MATCH(30,'8. Checklist'!$K$6:$K$265,0))="","",INDEX('8. Checklist'!$E$6:$E$265,MATCH(30,'8. Checklist'!$K$6:$K$265,0))),"")</f>
        <v/>
      </c>
    </row>
    <row r="37" spans="1:7" x14ac:dyDescent="0.45">
      <c r="A37" s="66" t="str">
        <f>IF(COUNT('8. Checklist'!$K$6:$K$265)&lt;31,"",31)</f>
        <v/>
      </c>
      <c r="B37" s="48" t="str">
        <f>IFERROR(IF(INDEX('8. Checklist'!$A$6:$A$265,MATCH(31,'8. Checklist'!$K$6:$K$265,0))="","",INDEX('8. Checklist'!$A$6:$A$265,MATCH(31,'8. Checklist'!$K$6:$K$265,0))),"")</f>
        <v/>
      </c>
      <c r="C37" s="48" t="str">
        <f>IFERROR(IF(INDEX('8. Checklist'!$B$6:$B$265,MATCH(31,'8. Checklist'!$K$6:$K$265,0))="","",INDEX('8. Checklist'!$B$6:$B$265,MATCH(31,'8. Checklist'!$K$6:$K$265,0))),"")</f>
        <v/>
      </c>
      <c r="D37" s="48" t="str">
        <f>IFERROR(IF(INDEX('8. Checklist'!$C$6:$C$265,MATCH(31,'8. Checklist'!$K$6:$K$265,0))="","",INDEX('8. Checklist'!$C$6:$C$265,MATCH(31,'8. Checklist'!$K$6:$K$265,0))),"")</f>
        <v/>
      </c>
      <c r="E37" s="30" t="str">
        <f>IFERROR(IF(INDEX('8. Checklist'!$D$6:$D$265,MATCH(31,'8. Checklist'!$K$6:$K$265,0))="","",INDEX('8. Checklist'!$D$6:$D$265,MATCH(31,'8. Checklist'!$K$6:$K$265,0))),"")</f>
        <v/>
      </c>
      <c r="F37" s="67" t="str">
        <f>IFERROR(IF(INDEX('8. Checklist'!$G$6:$G$265,MATCH(31,'8. Checklist'!$K$6:$K$265,0))="","",INDEX('8. Checklist'!$G$6:$G$265,MATCH(31,'8. Checklist'!$K$6:$K$265,0))),"")</f>
        <v/>
      </c>
      <c r="G37" s="48" t="str">
        <f>IFERROR(IF(INDEX('8. Checklist'!$E$6:$E$265,MATCH(31,'8. Checklist'!$K$6:$K$265,0))="","",INDEX('8. Checklist'!$E$6:$E$265,MATCH(31,'8. Checklist'!$K$6:$K$265,0))),"")</f>
        <v/>
      </c>
    </row>
    <row r="38" spans="1:7" x14ac:dyDescent="0.45">
      <c r="A38" s="68" t="str">
        <f>IF(COUNT('8. Checklist'!$K$6:$K$265)&lt;32,"",32)</f>
        <v/>
      </c>
      <c r="B38" s="42" t="str">
        <f>IFERROR(IF(INDEX('8. Checklist'!$A$6:$A$265,MATCH(32,'8. Checklist'!$K$6:$K$265,0))="","",INDEX('8. Checklist'!$A$6:$A$265,MATCH(32,'8. Checklist'!$K$6:$K$265,0))),"")</f>
        <v/>
      </c>
      <c r="C38" s="42" t="str">
        <f>IFERROR(IF(INDEX('8. Checklist'!$B$6:$B$265,MATCH(32,'8. Checklist'!$K$6:$K$265,0))="","",INDEX('8. Checklist'!$B$6:$B$265,MATCH(32,'8. Checklist'!$K$6:$K$265,0))),"")</f>
        <v/>
      </c>
      <c r="D38" s="42" t="str">
        <f>IFERROR(IF(INDEX('8. Checklist'!$C$6:$C$265,MATCH(32,'8. Checklist'!$K$6:$K$265,0))="","",INDEX('8. Checklist'!$C$6:$C$265,MATCH(32,'8. Checklist'!$K$6:$K$265,0))),"")</f>
        <v/>
      </c>
      <c r="E38" s="73" t="str">
        <f>IFERROR(IF(INDEX('8. Checklist'!$D$6:$D$265,MATCH(32,'8. Checklist'!$K$6:$K$265,0))="","",INDEX('8. Checklist'!$D$6:$D$265,MATCH(32,'8. Checklist'!$K$6:$K$265,0))),"")</f>
        <v/>
      </c>
      <c r="F38" s="69" t="str">
        <f>IFERROR(IF(INDEX('8. Checklist'!$G$6:$G$265,MATCH(32,'8. Checklist'!$K$6:$K$265,0))="","",INDEX('8. Checklist'!$G$6:$G$265,MATCH(32,'8. Checklist'!$K$6:$K$265,0))),"")</f>
        <v/>
      </c>
      <c r="G38" s="42" t="str">
        <f>IFERROR(IF(INDEX('8. Checklist'!$E$6:$E$265,MATCH(32,'8. Checklist'!$K$6:$K$265,0))="","",INDEX('8. Checklist'!$E$6:$E$265,MATCH(32,'8. Checklist'!$K$6:$K$265,0))),"")</f>
        <v/>
      </c>
    </row>
    <row r="39" spans="1:7" x14ac:dyDescent="0.45">
      <c r="A39" s="66" t="str">
        <f>IF(COUNT('8. Checklist'!$K$6:$K$265)&lt;33,"",33)</f>
        <v/>
      </c>
      <c r="B39" s="48" t="str">
        <f>IFERROR(IF(INDEX('8. Checklist'!$A$6:$A$265,MATCH(33,'8. Checklist'!$K$6:$K$265,0))="","",INDEX('8. Checklist'!$A$6:$A$265,MATCH(33,'8. Checklist'!$K$6:$K$265,0))),"")</f>
        <v/>
      </c>
      <c r="C39" s="48" t="str">
        <f>IFERROR(IF(INDEX('8. Checklist'!$B$6:$B$265,MATCH(33,'8. Checklist'!$K$6:$K$265,0))="","",INDEX('8. Checklist'!$B$6:$B$265,MATCH(33,'8. Checklist'!$K$6:$K$265,0))),"")</f>
        <v/>
      </c>
      <c r="D39" s="48" t="str">
        <f>IFERROR(IF(INDEX('8. Checklist'!$C$6:$C$265,MATCH(33,'8. Checklist'!$K$6:$K$265,0))="","",INDEX('8. Checklist'!$C$6:$C$265,MATCH(33,'8. Checklist'!$K$6:$K$265,0))),"")</f>
        <v/>
      </c>
      <c r="E39" s="30" t="str">
        <f>IFERROR(IF(INDEX('8. Checklist'!$D$6:$D$265,MATCH(33,'8. Checklist'!$K$6:$K$265,0))="","",INDEX('8. Checklist'!$D$6:$D$265,MATCH(33,'8. Checklist'!$K$6:$K$265,0))),"")</f>
        <v/>
      </c>
      <c r="F39" s="67" t="str">
        <f>IFERROR(IF(INDEX('8. Checklist'!$G$6:$G$265,MATCH(33,'8. Checklist'!$K$6:$K$265,0))="","",INDEX('8. Checklist'!$G$6:$G$265,MATCH(33,'8. Checklist'!$K$6:$K$265,0))),"")</f>
        <v/>
      </c>
      <c r="G39" s="48" t="str">
        <f>IFERROR(IF(INDEX('8. Checklist'!$E$6:$E$265,MATCH(33,'8. Checklist'!$K$6:$K$265,0))="","",INDEX('8. Checklist'!$E$6:$E$265,MATCH(33,'8. Checklist'!$K$6:$K$265,0))),"")</f>
        <v/>
      </c>
    </row>
    <row r="40" spans="1:7" x14ac:dyDescent="0.45">
      <c r="A40" s="68" t="str">
        <f>IF(COUNT('8. Checklist'!$K$6:$K$265)&lt;34,"",34)</f>
        <v/>
      </c>
      <c r="B40" s="42" t="str">
        <f>IFERROR(IF(INDEX('8. Checklist'!$A$6:$A$265,MATCH(34,'8. Checklist'!$K$6:$K$265,0))="","",INDEX('8. Checklist'!$A$6:$A$265,MATCH(34,'8. Checklist'!$K$6:$K$265,0))),"")</f>
        <v/>
      </c>
      <c r="C40" s="42" t="str">
        <f>IFERROR(IF(INDEX('8. Checklist'!$B$6:$B$265,MATCH(34,'8. Checklist'!$K$6:$K$265,0))="","",INDEX('8. Checklist'!$B$6:$B$265,MATCH(34,'8. Checklist'!$K$6:$K$265,0))),"")</f>
        <v/>
      </c>
      <c r="D40" s="42" t="str">
        <f>IFERROR(IF(INDEX('8. Checklist'!$C$6:$C$265,MATCH(34,'8. Checklist'!$K$6:$K$265,0))="","",INDEX('8. Checklist'!$C$6:$C$265,MATCH(34,'8. Checklist'!$K$6:$K$265,0))),"")</f>
        <v/>
      </c>
      <c r="E40" s="73" t="str">
        <f>IFERROR(IF(INDEX('8. Checklist'!$D$6:$D$265,MATCH(34,'8. Checklist'!$K$6:$K$265,0))="","",INDEX('8. Checklist'!$D$6:$D$265,MATCH(34,'8. Checklist'!$K$6:$K$265,0))),"")</f>
        <v/>
      </c>
      <c r="F40" s="69" t="str">
        <f>IFERROR(IF(INDEX('8. Checklist'!$G$6:$G$265,MATCH(34,'8. Checklist'!$K$6:$K$265,0))="","",INDEX('8. Checklist'!$G$6:$G$265,MATCH(34,'8. Checklist'!$K$6:$K$265,0))),"")</f>
        <v/>
      </c>
      <c r="G40" s="42" t="str">
        <f>IFERROR(IF(INDEX('8. Checklist'!$E$6:$E$265,MATCH(34,'8. Checklist'!$K$6:$K$265,0))="","",INDEX('8. Checklist'!$E$6:$E$265,MATCH(34,'8. Checklist'!$K$6:$K$265,0))),"")</f>
        <v/>
      </c>
    </row>
    <row r="41" spans="1:7" x14ac:dyDescent="0.45">
      <c r="A41" s="66" t="str">
        <f>IF(COUNT('8. Checklist'!$K$6:$K$265)&lt;35,"",35)</f>
        <v/>
      </c>
      <c r="B41" s="48" t="str">
        <f>IFERROR(IF(INDEX('8. Checklist'!$A$6:$A$265,MATCH(35,'8. Checklist'!$K$6:$K$265,0))="","",INDEX('8. Checklist'!$A$6:$A$265,MATCH(35,'8. Checklist'!$K$6:$K$265,0))),"")</f>
        <v/>
      </c>
      <c r="C41" s="48" t="str">
        <f>IFERROR(IF(INDEX('8. Checklist'!$B$6:$B$265,MATCH(35,'8. Checklist'!$K$6:$K$265,0))="","",INDEX('8. Checklist'!$B$6:$B$265,MATCH(35,'8. Checklist'!$K$6:$K$265,0))),"")</f>
        <v/>
      </c>
      <c r="D41" s="48" t="str">
        <f>IFERROR(IF(INDEX('8. Checklist'!$C$6:$C$265,MATCH(35,'8. Checklist'!$K$6:$K$265,0))="","",INDEX('8. Checklist'!$C$6:$C$265,MATCH(35,'8. Checklist'!$K$6:$K$265,0))),"")</f>
        <v/>
      </c>
      <c r="E41" s="30" t="str">
        <f>IFERROR(IF(INDEX('8. Checklist'!$D$6:$D$265,MATCH(35,'8. Checklist'!$K$6:$K$265,0))="","",INDEX('8. Checklist'!$D$6:$D$265,MATCH(35,'8. Checklist'!$K$6:$K$265,0))),"")</f>
        <v/>
      </c>
      <c r="F41" s="67" t="str">
        <f>IFERROR(IF(INDEX('8. Checklist'!$G$6:$G$265,MATCH(35,'8. Checklist'!$K$6:$K$265,0))="","",INDEX('8. Checklist'!$G$6:$G$265,MATCH(35,'8. Checklist'!$K$6:$K$265,0))),"")</f>
        <v/>
      </c>
      <c r="G41" s="48" t="str">
        <f>IFERROR(IF(INDEX('8. Checklist'!$E$6:$E$265,MATCH(35,'8. Checklist'!$K$6:$K$265,0))="","",INDEX('8. Checklist'!$E$6:$E$265,MATCH(35,'8. Checklist'!$K$6:$K$265,0))),"")</f>
        <v/>
      </c>
    </row>
    <row r="42" spans="1:7" x14ac:dyDescent="0.45">
      <c r="A42" s="68" t="str">
        <f>IF(COUNT('8. Checklist'!$K$6:$K$265)&lt;36,"",36)</f>
        <v/>
      </c>
      <c r="B42" s="42" t="str">
        <f>IFERROR(IF(INDEX('8. Checklist'!$A$6:$A$265,MATCH(36,'8. Checklist'!$K$6:$K$265,0))="","",INDEX('8. Checklist'!$A$6:$A$265,MATCH(36,'8. Checklist'!$K$6:$K$265,0))),"")</f>
        <v/>
      </c>
      <c r="C42" s="42" t="str">
        <f>IFERROR(IF(INDEX('8. Checklist'!$B$6:$B$265,MATCH(36,'8. Checklist'!$K$6:$K$265,0))="","",INDEX('8. Checklist'!$B$6:$B$265,MATCH(36,'8. Checklist'!$K$6:$K$265,0))),"")</f>
        <v/>
      </c>
      <c r="D42" s="42" t="str">
        <f>IFERROR(IF(INDEX('8. Checklist'!$C$6:$C$265,MATCH(36,'8. Checklist'!$K$6:$K$265,0))="","",INDEX('8. Checklist'!$C$6:$C$265,MATCH(36,'8. Checklist'!$K$6:$K$265,0))),"")</f>
        <v/>
      </c>
      <c r="E42" s="73" t="str">
        <f>IFERROR(IF(INDEX('8. Checklist'!$D$6:$D$265,MATCH(36,'8. Checklist'!$K$6:$K$265,0))="","",INDEX('8. Checklist'!$D$6:$D$265,MATCH(36,'8. Checklist'!$K$6:$K$265,0))),"")</f>
        <v/>
      </c>
      <c r="F42" s="69" t="str">
        <f>IFERROR(IF(INDEX('8. Checklist'!$G$6:$G$265,MATCH(36,'8. Checklist'!$K$6:$K$265,0))="","",INDEX('8. Checklist'!$G$6:$G$265,MATCH(36,'8. Checklist'!$K$6:$K$265,0))),"")</f>
        <v/>
      </c>
      <c r="G42" s="42" t="str">
        <f>IFERROR(IF(INDEX('8. Checklist'!$E$6:$E$265,MATCH(36,'8. Checklist'!$K$6:$K$265,0))="","",INDEX('8. Checklist'!$E$6:$E$265,MATCH(36,'8. Checklist'!$K$6:$K$265,0))),"")</f>
        <v/>
      </c>
    </row>
    <row r="43" spans="1:7" x14ac:dyDescent="0.45">
      <c r="A43" s="66" t="str">
        <f>IF(COUNT('8. Checklist'!$K$6:$K$265)&lt;37,"",37)</f>
        <v/>
      </c>
      <c r="B43" s="48" t="str">
        <f>IFERROR(IF(INDEX('8. Checklist'!$A$6:$A$265,MATCH(37,'8. Checklist'!$K$6:$K$265,0))="","",INDEX('8. Checklist'!$A$6:$A$265,MATCH(37,'8. Checklist'!$K$6:$K$265,0))),"")</f>
        <v/>
      </c>
      <c r="C43" s="48" t="str">
        <f>IFERROR(IF(INDEX('8. Checklist'!$B$6:$B$265,MATCH(37,'8. Checklist'!$K$6:$K$265,0))="","",INDEX('8. Checklist'!$B$6:$B$265,MATCH(37,'8. Checklist'!$K$6:$K$265,0))),"")</f>
        <v/>
      </c>
      <c r="D43" s="48" t="str">
        <f>IFERROR(IF(INDEX('8. Checklist'!$C$6:$C$265,MATCH(37,'8. Checklist'!$K$6:$K$265,0))="","",INDEX('8. Checklist'!$C$6:$C$265,MATCH(37,'8. Checklist'!$K$6:$K$265,0))),"")</f>
        <v/>
      </c>
      <c r="E43" s="30" t="str">
        <f>IFERROR(IF(INDEX('8. Checklist'!$D$6:$D$265,MATCH(37,'8. Checklist'!$K$6:$K$265,0))="","",INDEX('8. Checklist'!$D$6:$D$265,MATCH(37,'8. Checklist'!$K$6:$K$265,0))),"")</f>
        <v/>
      </c>
      <c r="F43" s="67" t="str">
        <f>IFERROR(IF(INDEX('8. Checklist'!$G$6:$G$265,MATCH(37,'8. Checklist'!$K$6:$K$265,0))="","",INDEX('8. Checklist'!$G$6:$G$265,MATCH(37,'8. Checklist'!$K$6:$K$265,0))),"")</f>
        <v/>
      </c>
      <c r="G43" s="48" t="str">
        <f>IFERROR(IF(INDEX('8. Checklist'!$E$6:$E$265,MATCH(37,'8. Checklist'!$K$6:$K$265,0))="","",INDEX('8. Checklist'!$E$6:$E$265,MATCH(37,'8. Checklist'!$K$6:$K$265,0))),"")</f>
        <v/>
      </c>
    </row>
    <row r="44" spans="1:7" x14ac:dyDescent="0.45">
      <c r="A44" s="68" t="str">
        <f>IF(COUNT('8. Checklist'!$K$6:$K$265)&lt;38,"",38)</f>
        <v/>
      </c>
      <c r="B44" s="42" t="str">
        <f>IFERROR(IF(INDEX('8. Checklist'!$A$6:$A$265,MATCH(38,'8. Checklist'!$K$6:$K$265,0))="","",INDEX('8. Checklist'!$A$6:$A$265,MATCH(38,'8. Checklist'!$K$6:$K$265,0))),"")</f>
        <v/>
      </c>
      <c r="C44" s="42" t="str">
        <f>IFERROR(IF(INDEX('8. Checklist'!$B$6:$B$265,MATCH(38,'8. Checklist'!$K$6:$K$265,0))="","",INDEX('8. Checklist'!$B$6:$B$265,MATCH(38,'8. Checklist'!$K$6:$K$265,0))),"")</f>
        <v/>
      </c>
      <c r="D44" s="42" t="str">
        <f>IFERROR(IF(INDEX('8. Checklist'!$C$6:$C$265,MATCH(38,'8. Checklist'!$K$6:$K$265,0))="","",INDEX('8. Checklist'!$C$6:$C$265,MATCH(38,'8. Checklist'!$K$6:$K$265,0))),"")</f>
        <v/>
      </c>
      <c r="E44" s="73" t="str">
        <f>IFERROR(IF(INDEX('8. Checklist'!$D$6:$D$265,MATCH(38,'8. Checklist'!$K$6:$K$265,0))="","",INDEX('8. Checklist'!$D$6:$D$265,MATCH(38,'8. Checklist'!$K$6:$K$265,0))),"")</f>
        <v/>
      </c>
      <c r="F44" s="69" t="str">
        <f>IFERROR(IF(INDEX('8. Checklist'!$G$6:$G$265,MATCH(38,'8. Checklist'!$K$6:$K$265,0))="","",INDEX('8. Checklist'!$G$6:$G$265,MATCH(38,'8. Checklist'!$K$6:$K$265,0))),"")</f>
        <v/>
      </c>
      <c r="G44" s="42" t="str">
        <f>IFERROR(IF(INDEX('8. Checklist'!$E$6:$E$265,MATCH(38,'8. Checklist'!$K$6:$K$265,0))="","",INDEX('8. Checklist'!$E$6:$E$265,MATCH(38,'8. Checklist'!$K$6:$K$265,0))),"")</f>
        <v/>
      </c>
    </row>
    <row r="45" spans="1:7" x14ac:dyDescent="0.45">
      <c r="A45" s="66" t="str">
        <f>IF(COUNT('8. Checklist'!$K$6:$K$265)&lt;39,"",39)</f>
        <v/>
      </c>
      <c r="B45" s="48" t="str">
        <f>IFERROR(IF(INDEX('8. Checklist'!$A$6:$A$265,MATCH(39,'8. Checklist'!$K$6:$K$265,0))="","",INDEX('8. Checklist'!$A$6:$A$265,MATCH(39,'8. Checklist'!$K$6:$K$265,0))),"")</f>
        <v/>
      </c>
      <c r="C45" s="48" t="str">
        <f>IFERROR(IF(INDEX('8. Checklist'!$B$6:$B$265,MATCH(39,'8. Checklist'!$K$6:$K$265,0))="","",INDEX('8. Checklist'!$B$6:$B$265,MATCH(39,'8. Checklist'!$K$6:$K$265,0))),"")</f>
        <v/>
      </c>
      <c r="D45" s="48" t="str">
        <f>IFERROR(IF(INDEX('8. Checklist'!$C$6:$C$265,MATCH(39,'8. Checklist'!$K$6:$K$265,0))="","",INDEX('8. Checklist'!$C$6:$C$265,MATCH(39,'8. Checklist'!$K$6:$K$265,0))),"")</f>
        <v/>
      </c>
      <c r="E45" s="30" t="str">
        <f>IFERROR(IF(INDEX('8. Checklist'!$D$6:$D$265,MATCH(39,'8. Checklist'!$K$6:$K$265,0))="","",INDEX('8. Checklist'!$D$6:$D$265,MATCH(39,'8. Checklist'!$K$6:$K$265,0))),"")</f>
        <v/>
      </c>
      <c r="F45" s="67" t="str">
        <f>IFERROR(IF(INDEX('8. Checklist'!$G$6:$G$265,MATCH(39,'8. Checklist'!$K$6:$K$265,0))="","",INDEX('8. Checklist'!$G$6:$G$265,MATCH(39,'8. Checklist'!$K$6:$K$265,0))),"")</f>
        <v/>
      </c>
      <c r="G45" s="48" t="str">
        <f>IFERROR(IF(INDEX('8. Checklist'!$E$6:$E$265,MATCH(39,'8. Checklist'!$K$6:$K$265,0))="","",INDEX('8. Checklist'!$E$6:$E$265,MATCH(39,'8. Checklist'!$K$6:$K$265,0))),"")</f>
        <v/>
      </c>
    </row>
    <row r="46" spans="1:7" x14ac:dyDescent="0.45">
      <c r="A46" s="68" t="str">
        <f>IF(COUNT('8. Checklist'!$K$6:$K$265)&lt;40,"",40)</f>
        <v/>
      </c>
      <c r="B46" s="42" t="str">
        <f>IFERROR(IF(INDEX('8. Checklist'!$A$6:$A$265,MATCH(40,'8. Checklist'!$K$6:$K$265,0))="","",INDEX('8. Checklist'!$A$6:$A$265,MATCH(40,'8. Checklist'!$K$6:$K$265,0))),"")</f>
        <v/>
      </c>
      <c r="C46" s="42" t="str">
        <f>IFERROR(IF(INDEX('8. Checklist'!$B$6:$B$265,MATCH(40,'8. Checklist'!$K$6:$K$265,0))="","",INDEX('8. Checklist'!$B$6:$B$265,MATCH(40,'8. Checklist'!$K$6:$K$265,0))),"")</f>
        <v/>
      </c>
      <c r="D46" s="42" t="str">
        <f>IFERROR(IF(INDEX('8. Checklist'!$C$6:$C$265,MATCH(40,'8. Checklist'!$K$6:$K$265,0))="","",INDEX('8. Checklist'!$C$6:$C$265,MATCH(40,'8. Checklist'!$K$6:$K$265,0))),"")</f>
        <v/>
      </c>
      <c r="E46" s="73" t="str">
        <f>IFERROR(IF(INDEX('8. Checklist'!$D$6:$D$265,MATCH(40,'8. Checklist'!$K$6:$K$265,0))="","",INDEX('8. Checklist'!$D$6:$D$265,MATCH(40,'8. Checklist'!$K$6:$K$265,0))),"")</f>
        <v/>
      </c>
      <c r="F46" s="69" t="str">
        <f>IFERROR(IF(INDEX('8. Checklist'!$G$6:$G$265,MATCH(40,'8. Checklist'!$K$6:$K$265,0))="","",INDEX('8. Checklist'!$G$6:$G$265,MATCH(40,'8. Checklist'!$K$6:$K$265,0))),"")</f>
        <v/>
      </c>
      <c r="G46" s="42" t="str">
        <f>IFERROR(IF(INDEX('8. Checklist'!$E$6:$E$265,MATCH(40,'8. Checklist'!$K$6:$K$265,0))="","",INDEX('8. Checklist'!$E$6:$E$265,MATCH(40,'8. Checklist'!$K$6:$K$265,0))),"")</f>
        <v/>
      </c>
    </row>
    <row r="47" spans="1:7" x14ac:dyDescent="0.45">
      <c r="A47" s="66" t="str">
        <f>IF(COUNT('8. Checklist'!$K$6:$K$265)&lt;41,"",41)</f>
        <v/>
      </c>
      <c r="B47" s="48" t="str">
        <f>IFERROR(IF(INDEX('8. Checklist'!$A$6:$A$265,MATCH(41,'8. Checklist'!$K$6:$K$265,0))="","",INDEX('8. Checklist'!$A$6:$A$265,MATCH(41,'8. Checklist'!$K$6:$K$265,0))),"")</f>
        <v/>
      </c>
      <c r="C47" s="48" t="str">
        <f>IFERROR(IF(INDEX('8. Checklist'!$B$6:$B$265,MATCH(41,'8. Checklist'!$K$6:$K$265,0))="","",INDEX('8. Checklist'!$B$6:$B$265,MATCH(41,'8. Checklist'!$K$6:$K$265,0))),"")</f>
        <v/>
      </c>
      <c r="D47" s="48" t="str">
        <f>IFERROR(IF(INDEX('8. Checklist'!$C$6:$C$265,MATCH(41,'8. Checklist'!$K$6:$K$265,0))="","",INDEX('8. Checklist'!$C$6:$C$265,MATCH(41,'8. Checklist'!$K$6:$K$265,0))),"")</f>
        <v/>
      </c>
      <c r="E47" s="30" t="str">
        <f>IFERROR(IF(INDEX('8. Checklist'!$D$6:$D$265,MATCH(41,'8. Checklist'!$K$6:$K$265,0))="","",INDEX('8. Checklist'!$D$6:$D$265,MATCH(41,'8. Checklist'!$K$6:$K$265,0))),"")</f>
        <v/>
      </c>
      <c r="F47" s="67" t="str">
        <f>IFERROR(IF(INDEX('8. Checklist'!$G$6:$G$265,MATCH(41,'8. Checklist'!$K$6:$K$265,0))="","",INDEX('8. Checklist'!$G$6:$G$265,MATCH(41,'8. Checklist'!$K$6:$K$265,0))),"")</f>
        <v/>
      </c>
      <c r="G47" s="48" t="str">
        <f>IFERROR(IF(INDEX('8. Checklist'!$E$6:$E$265,MATCH(41,'8. Checklist'!$K$6:$K$265,0))="","",INDEX('8. Checklist'!$E$6:$E$265,MATCH(41,'8. Checklist'!$K$6:$K$265,0))),"")</f>
        <v/>
      </c>
    </row>
    <row r="48" spans="1:7" x14ac:dyDescent="0.45">
      <c r="A48" s="68" t="str">
        <f>IF(COUNT('8. Checklist'!$K$6:$K$265)&lt;42,"",42)</f>
        <v/>
      </c>
      <c r="B48" s="42" t="str">
        <f>IFERROR(IF(INDEX('8. Checklist'!$A$6:$A$265,MATCH(42,'8. Checklist'!$K$6:$K$265,0))="","",INDEX('8. Checklist'!$A$6:$A$265,MATCH(42,'8. Checklist'!$K$6:$K$265,0))),"")</f>
        <v/>
      </c>
      <c r="C48" s="42" t="str">
        <f>IFERROR(IF(INDEX('8. Checklist'!$B$6:$B$265,MATCH(42,'8. Checklist'!$K$6:$K$265,0))="","",INDEX('8. Checklist'!$B$6:$B$265,MATCH(42,'8. Checklist'!$K$6:$K$265,0))),"")</f>
        <v/>
      </c>
      <c r="D48" s="42" t="str">
        <f>IFERROR(IF(INDEX('8. Checklist'!$C$6:$C$265,MATCH(42,'8. Checklist'!$K$6:$K$265,0))="","",INDEX('8. Checklist'!$C$6:$C$265,MATCH(42,'8. Checklist'!$K$6:$K$265,0))),"")</f>
        <v/>
      </c>
      <c r="E48" s="73" t="str">
        <f>IFERROR(IF(INDEX('8. Checklist'!$D$6:$D$265,MATCH(42,'8. Checklist'!$K$6:$K$265,0))="","",INDEX('8. Checklist'!$D$6:$D$265,MATCH(42,'8. Checklist'!$K$6:$K$265,0))),"")</f>
        <v/>
      </c>
      <c r="F48" s="69" t="str">
        <f>IFERROR(IF(INDEX('8. Checklist'!$G$6:$G$265,MATCH(42,'8. Checklist'!$K$6:$K$265,0))="","",INDEX('8. Checklist'!$G$6:$G$265,MATCH(42,'8. Checklist'!$K$6:$K$265,0))),"")</f>
        <v/>
      </c>
      <c r="G48" s="42" t="str">
        <f>IFERROR(IF(INDEX('8. Checklist'!$E$6:$E$265,MATCH(42,'8. Checklist'!$K$6:$K$265,0))="","",INDEX('8. Checklist'!$E$6:$E$265,MATCH(42,'8. Checklist'!$K$6:$K$265,0))),"")</f>
        <v/>
      </c>
    </row>
    <row r="49" spans="1:7" x14ac:dyDescent="0.45">
      <c r="A49" s="66" t="str">
        <f>IF(COUNT('8. Checklist'!$K$6:$K$265)&lt;43,"",43)</f>
        <v/>
      </c>
      <c r="B49" s="48" t="str">
        <f>IFERROR(IF(INDEX('8. Checklist'!$A$6:$A$265,MATCH(43,'8. Checklist'!$K$6:$K$265,0))="","",INDEX('8. Checklist'!$A$6:$A$265,MATCH(43,'8. Checklist'!$K$6:$K$265,0))),"")</f>
        <v/>
      </c>
      <c r="C49" s="48" t="str">
        <f>IFERROR(IF(INDEX('8. Checklist'!$B$6:$B$265,MATCH(43,'8. Checklist'!$K$6:$K$265,0))="","",INDEX('8. Checklist'!$B$6:$B$265,MATCH(43,'8. Checklist'!$K$6:$K$265,0))),"")</f>
        <v/>
      </c>
      <c r="D49" s="48" t="str">
        <f>IFERROR(IF(INDEX('8. Checklist'!$C$6:$C$265,MATCH(43,'8. Checklist'!$K$6:$K$265,0))="","",INDEX('8. Checklist'!$C$6:$C$265,MATCH(43,'8. Checklist'!$K$6:$K$265,0))),"")</f>
        <v/>
      </c>
      <c r="E49" s="30" t="str">
        <f>IFERROR(IF(INDEX('8. Checklist'!$D$6:$D$265,MATCH(43,'8. Checklist'!$K$6:$K$265,0))="","",INDEX('8. Checklist'!$D$6:$D$265,MATCH(43,'8. Checklist'!$K$6:$K$265,0))),"")</f>
        <v/>
      </c>
      <c r="F49" s="67" t="str">
        <f>IFERROR(IF(INDEX('8. Checklist'!$G$6:$G$265,MATCH(43,'8. Checklist'!$K$6:$K$265,0))="","",INDEX('8. Checklist'!$G$6:$G$265,MATCH(43,'8. Checklist'!$K$6:$K$265,0))),"")</f>
        <v/>
      </c>
      <c r="G49" s="48" t="str">
        <f>IFERROR(IF(INDEX('8. Checklist'!$E$6:$E$265,MATCH(43,'8. Checklist'!$K$6:$K$265,0))="","",INDEX('8. Checklist'!$E$6:$E$265,MATCH(43,'8. Checklist'!$K$6:$K$265,0))),"")</f>
        <v/>
      </c>
    </row>
    <row r="50" spans="1:7" x14ac:dyDescent="0.45">
      <c r="A50" s="68" t="str">
        <f>IF(COUNT('8. Checklist'!$K$6:$K$265)&lt;44,"",44)</f>
        <v/>
      </c>
      <c r="B50" s="42" t="str">
        <f>IFERROR(IF(INDEX('8. Checklist'!$A$6:$A$265,MATCH(44,'8. Checklist'!$K$6:$K$265,0))="","",INDEX('8. Checklist'!$A$6:$A$265,MATCH(44,'8. Checklist'!$K$6:$K$265,0))),"")</f>
        <v/>
      </c>
      <c r="C50" s="42" t="str">
        <f>IFERROR(IF(INDEX('8. Checklist'!$B$6:$B$265,MATCH(44,'8. Checklist'!$K$6:$K$265,0))="","",INDEX('8. Checklist'!$B$6:$B$265,MATCH(44,'8. Checklist'!$K$6:$K$265,0))),"")</f>
        <v/>
      </c>
      <c r="D50" s="42" t="str">
        <f>IFERROR(IF(INDEX('8. Checklist'!$C$6:$C$265,MATCH(44,'8. Checklist'!$K$6:$K$265,0))="","",INDEX('8. Checklist'!$C$6:$C$265,MATCH(44,'8. Checklist'!$K$6:$K$265,0))),"")</f>
        <v/>
      </c>
      <c r="E50" s="73" t="str">
        <f>IFERROR(IF(INDEX('8. Checklist'!$D$6:$D$265,MATCH(44,'8. Checklist'!$K$6:$K$265,0))="","",INDEX('8. Checklist'!$D$6:$D$265,MATCH(44,'8. Checklist'!$K$6:$K$265,0))),"")</f>
        <v/>
      </c>
      <c r="F50" s="69" t="str">
        <f>IFERROR(IF(INDEX('8. Checklist'!$G$6:$G$265,MATCH(44,'8. Checklist'!$K$6:$K$265,0))="","",INDEX('8. Checklist'!$G$6:$G$265,MATCH(44,'8. Checklist'!$K$6:$K$265,0))),"")</f>
        <v/>
      </c>
      <c r="G50" s="42" t="str">
        <f>IFERROR(IF(INDEX('8. Checklist'!$E$6:$E$265,MATCH(44,'8. Checklist'!$K$6:$K$265,0))="","",INDEX('8. Checklist'!$E$6:$E$265,MATCH(44,'8. Checklist'!$K$6:$K$265,0))),"")</f>
        <v/>
      </c>
    </row>
    <row r="51" spans="1:7" x14ac:dyDescent="0.45">
      <c r="A51" s="66" t="str">
        <f>IF(COUNT('8. Checklist'!$K$6:$K$265)&lt;45,"",45)</f>
        <v/>
      </c>
      <c r="B51" s="48" t="str">
        <f>IFERROR(IF(INDEX('8. Checklist'!$A$6:$A$265,MATCH(45,'8. Checklist'!$K$6:$K$265,0))="","",INDEX('8. Checklist'!$A$6:$A$265,MATCH(45,'8. Checklist'!$K$6:$K$265,0))),"")</f>
        <v/>
      </c>
      <c r="C51" s="48" t="str">
        <f>IFERROR(IF(INDEX('8. Checklist'!$B$6:$B$265,MATCH(45,'8. Checklist'!$K$6:$K$265,0))="","",INDEX('8. Checklist'!$B$6:$B$265,MATCH(45,'8. Checklist'!$K$6:$K$265,0))),"")</f>
        <v/>
      </c>
      <c r="D51" s="48" t="str">
        <f>IFERROR(IF(INDEX('8. Checklist'!$C$6:$C$265,MATCH(45,'8. Checklist'!$K$6:$K$265,0))="","",INDEX('8. Checklist'!$C$6:$C$265,MATCH(45,'8. Checklist'!$K$6:$K$265,0))),"")</f>
        <v/>
      </c>
      <c r="E51" s="30" t="str">
        <f>IFERROR(IF(INDEX('8. Checklist'!$D$6:$D$265,MATCH(45,'8. Checklist'!$K$6:$K$265,0))="","",INDEX('8. Checklist'!$D$6:$D$265,MATCH(45,'8. Checklist'!$K$6:$K$265,0))),"")</f>
        <v/>
      </c>
      <c r="F51" s="67" t="str">
        <f>IFERROR(IF(INDEX('8. Checklist'!$G$6:$G$265,MATCH(45,'8. Checklist'!$K$6:$K$265,0))="","",INDEX('8. Checklist'!$G$6:$G$265,MATCH(45,'8. Checklist'!$K$6:$K$265,0))),"")</f>
        <v/>
      </c>
      <c r="G51" s="48" t="str">
        <f>IFERROR(IF(INDEX('8. Checklist'!$E$6:$E$265,MATCH(45,'8. Checklist'!$K$6:$K$265,0))="","",INDEX('8. Checklist'!$E$6:$E$265,MATCH(45,'8. Checklist'!$K$6:$K$265,0))),"")</f>
        <v/>
      </c>
    </row>
    <row r="52" spans="1:7" x14ac:dyDescent="0.45">
      <c r="A52" s="68" t="str">
        <f>IF(COUNT('8. Checklist'!$K$6:$K$265)&lt;46,"",46)</f>
        <v/>
      </c>
      <c r="B52" s="42" t="str">
        <f>IFERROR(IF(INDEX('8. Checklist'!$A$6:$A$265,MATCH(46,'8. Checklist'!$K$6:$K$265,0))="","",INDEX('8. Checklist'!$A$6:$A$265,MATCH(46,'8. Checklist'!$K$6:$K$265,0))),"")</f>
        <v/>
      </c>
      <c r="C52" s="42" t="str">
        <f>IFERROR(IF(INDEX('8. Checklist'!$B$6:$B$265,MATCH(46,'8. Checklist'!$K$6:$K$265,0))="","",INDEX('8. Checklist'!$B$6:$B$265,MATCH(46,'8. Checklist'!$K$6:$K$265,0))),"")</f>
        <v/>
      </c>
      <c r="D52" s="42" t="str">
        <f>IFERROR(IF(INDEX('8. Checklist'!$C$6:$C$265,MATCH(46,'8. Checklist'!$K$6:$K$265,0))="","",INDEX('8. Checklist'!$C$6:$C$265,MATCH(46,'8. Checklist'!$K$6:$K$265,0))),"")</f>
        <v/>
      </c>
      <c r="E52" s="73" t="str">
        <f>IFERROR(IF(INDEX('8. Checklist'!$D$6:$D$265,MATCH(46,'8. Checklist'!$K$6:$K$265,0))="","",INDEX('8. Checklist'!$D$6:$D$265,MATCH(46,'8. Checklist'!$K$6:$K$265,0))),"")</f>
        <v/>
      </c>
      <c r="F52" s="69" t="str">
        <f>IFERROR(IF(INDEX('8. Checklist'!$G$6:$G$265,MATCH(46,'8. Checklist'!$K$6:$K$265,0))="","",INDEX('8. Checklist'!$G$6:$G$265,MATCH(46,'8. Checklist'!$K$6:$K$265,0))),"")</f>
        <v/>
      </c>
      <c r="G52" s="42" t="str">
        <f>IFERROR(IF(INDEX('8. Checklist'!$E$6:$E$265,MATCH(46,'8. Checklist'!$K$6:$K$265,0))="","",INDEX('8. Checklist'!$E$6:$E$265,MATCH(46,'8. Checklist'!$K$6:$K$265,0))),"")</f>
        <v/>
      </c>
    </row>
    <row r="53" spans="1:7" x14ac:dyDescent="0.45">
      <c r="A53" s="66" t="str">
        <f>IF(COUNT('8. Checklist'!$K$6:$K$265)&lt;47,"",47)</f>
        <v/>
      </c>
      <c r="B53" s="48" t="str">
        <f>IFERROR(IF(INDEX('8. Checklist'!$A$6:$A$265,MATCH(47,'8. Checklist'!$K$6:$K$265,0))="","",INDEX('8. Checklist'!$A$6:$A$265,MATCH(47,'8. Checklist'!$K$6:$K$265,0))),"")</f>
        <v/>
      </c>
      <c r="C53" s="48" t="str">
        <f>IFERROR(IF(INDEX('8. Checklist'!$B$6:$B$265,MATCH(47,'8. Checklist'!$K$6:$K$265,0))="","",INDEX('8. Checklist'!$B$6:$B$265,MATCH(47,'8. Checklist'!$K$6:$K$265,0))),"")</f>
        <v/>
      </c>
      <c r="D53" s="48" t="str">
        <f>IFERROR(IF(INDEX('8. Checklist'!$C$6:$C$265,MATCH(47,'8. Checklist'!$K$6:$K$265,0))="","",INDEX('8. Checklist'!$C$6:$C$265,MATCH(47,'8. Checklist'!$K$6:$K$265,0))),"")</f>
        <v/>
      </c>
      <c r="E53" s="30" t="str">
        <f>IFERROR(IF(INDEX('8. Checklist'!$D$6:$D$265,MATCH(47,'8. Checklist'!$K$6:$K$265,0))="","",INDEX('8. Checklist'!$D$6:$D$265,MATCH(47,'8. Checklist'!$K$6:$K$265,0))),"")</f>
        <v/>
      </c>
      <c r="F53" s="67" t="str">
        <f>IFERROR(IF(INDEX('8. Checklist'!$G$6:$G$265,MATCH(47,'8. Checklist'!$K$6:$K$265,0))="","",INDEX('8. Checklist'!$G$6:$G$265,MATCH(47,'8. Checklist'!$K$6:$K$265,0))),"")</f>
        <v/>
      </c>
      <c r="G53" s="48" t="str">
        <f>IFERROR(IF(INDEX('8. Checklist'!$E$6:$E$265,MATCH(47,'8. Checklist'!$K$6:$K$265,0))="","",INDEX('8. Checklist'!$E$6:$E$265,MATCH(47,'8. Checklist'!$K$6:$K$265,0))),"")</f>
        <v/>
      </c>
    </row>
    <row r="54" spans="1:7" x14ac:dyDescent="0.45">
      <c r="A54" s="68" t="str">
        <f>IF(COUNT('8. Checklist'!$K$6:$K$265)&lt;48,"",48)</f>
        <v/>
      </c>
      <c r="B54" s="42" t="str">
        <f>IFERROR(IF(INDEX('8. Checklist'!$A$6:$A$265,MATCH(48,'8. Checklist'!$K$6:$K$265,0))="","",INDEX('8. Checklist'!$A$6:$A$265,MATCH(48,'8. Checklist'!$K$6:$K$265,0))),"")</f>
        <v/>
      </c>
      <c r="C54" s="42" t="str">
        <f>IFERROR(IF(INDEX('8. Checklist'!$B$6:$B$265,MATCH(48,'8. Checklist'!$K$6:$K$265,0))="","",INDEX('8. Checklist'!$B$6:$B$265,MATCH(48,'8. Checklist'!$K$6:$K$265,0))),"")</f>
        <v/>
      </c>
      <c r="D54" s="42" t="str">
        <f>IFERROR(IF(INDEX('8. Checklist'!$C$6:$C$265,MATCH(48,'8. Checklist'!$K$6:$K$265,0))="","",INDEX('8. Checklist'!$C$6:$C$265,MATCH(48,'8. Checklist'!$K$6:$K$265,0))),"")</f>
        <v/>
      </c>
      <c r="E54" s="73" t="str">
        <f>IFERROR(IF(INDEX('8. Checklist'!$D$6:$D$265,MATCH(48,'8. Checklist'!$K$6:$K$265,0))="","",INDEX('8. Checklist'!$D$6:$D$265,MATCH(48,'8. Checklist'!$K$6:$K$265,0))),"")</f>
        <v/>
      </c>
      <c r="F54" s="69" t="str">
        <f>IFERROR(IF(INDEX('8. Checklist'!$G$6:$G$265,MATCH(48,'8. Checklist'!$K$6:$K$265,0))="","",INDEX('8. Checklist'!$G$6:$G$265,MATCH(48,'8. Checklist'!$K$6:$K$265,0))),"")</f>
        <v/>
      </c>
      <c r="G54" s="42" t="str">
        <f>IFERROR(IF(INDEX('8. Checklist'!$E$6:$E$265,MATCH(48,'8. Checklist'!$K$6:$K$265,0))="","",INDEX('8. Checklist'!$E$6:$E$265,MATCH(48,'8. Checklist'!$K$6:$K$265,0))),"")</f>
        <v/>
      </c>
    </row>
    <row r="55" spans="1:7" x14ac:dyDescent="0.45">
      <c r="A55" s="66" t="str">
        <f>IF(COUNT('8. Checklist'!$K$6:$K$265)&lt;49,"",49)</f>
        <v/>
      </c>
      <c r="B55" s="48" t="str">
        <f>IFERROR(IF(INDEX('8. Checklist'!$A$6:$A$265,MATCH(49,'8. Checklist'!$K$6:$K$265,0))="","",INDEX('8. Checklist'!$A$6:$A$265,MATCH(49,'8. Checklist'!$K$6:$K$265,0))),"")</f>
        <v/>
      </c>
      <c r="C55" s="48" t="str">
        <f>IFERROR(IF(INDEX('8. Checklist'!$B$6:$B$265,MATCH(49,'8. Checklist'!$K$6:$K$265,0))="","",INDEX('8. Checklist'!$B$6:$B$265,MATCH(49,'8. Checklist'!$K$6:$K$265,0))),"")</f>
        <v/>
      </c>
      <c r="D55" s="48" t="str">
        <f>IFERROR(IF(INDEX('8. Checklist'!$C$6:$C$265,MATCH(49,'8. Checklist'!$K$6:$K$265,0))="","",INDEX('8. Checklist'!$C$6:$C$265,MATCH(49,'8. Checklist'!$K$6:$K$265,0))),"")</f>
        <v/>
      </c>
      <c r="E55" s="30" t="str">
        <f>IFERROR(IF(INDEX('8. Checklist'!$D$6:$D$265,MATCH(49,'8. Checklist'!$K$6:$K$265,0))="","",INDEX('8. Checklist'!$D$6:$D$265,MATCH(49,'8. Checklist'!$K$6:$K$265,0))),"")</f>
        <v/>
      </c>
      <c r="F55" s="67" t="str">
        <f>IFERROR(IF(INDEX('8. Checklist'!$G$6:$G$265,MATCH(49,'8. Checklist'!$K$6:$K$265,0))="","",INDEX('8. Checklist'!$G$6:$G$265,MATCH(49,'8. Checklist'!$K$6:$K$265,0))),"")</f>
        <v/>
      </c>
      <c r="G55" s="48" t="str">
        <f>IFERROR(IF(INDEX('8. Checklist'!$E$6:$E$265,MATCH(49,'8. Checklist'!$K$6:$K$265,0))="","",INDEX('8. Checklist'!$E$6:$E$265,MATCH(49,'8. Checklist'!$K$6:$K$265,0))),"")</f>
        <v/>
      </c>
    </row>
    <row r="56" spans="1:7" x14ac:dyDescent="0.45">
      <c r="A56" s="68" t="str">
        <f>IF(COUNT('8. Checklist'!$K$6:$K$265)&lt;50,"",50)</f>
        <v/>
      </c>
      <c r="B56" s="42" t="str">
        <f>IFERROR(IF(INDEX('8. Checklist'!$A$6:$A$265,MATCH(50,'8. Checklist'!$K$6:$K$265,0))="","",INDEX('8. Checklist'!$A$6:$A$265,MATCH(50,'8. Checklist'!$K$6:$K$265,0))),"")</f>
        <v/>
      </c>
      <c r="C56" s="42" t="str">
        <f>IFERROR(IF(INDEX('8. Checklist'!$B$6:$B$265,MATCH(50,'8. Checklist'!$K$6:$K$265,0))="","",INDEX('8. Checklist'!$B$6:$B$265,MATCH(50,'8. Checklist'!$K$6:$K$265,0))),"")</f>
        <v/>
      </c>
      <c r="D56" s="42" t="str">
        <f>IFERROR(IF(INDEX('8. Checklist'!$C$6:$C$265,MATCH(50,'8. Checklist'!$K$6:$K$265,0))="","",INDEX('8. Checklist'!$C$6:$C$265,MATCH(50,'8. Checklist'!$K$6:$K$265,0))),"")</f>
        <v/>
      </c>
      <c r="E56" s="73" t="str">
        <f>IFERROR(IF(INDEX('8. Checklist'!$D$6:$D$265,MATCH(50,'8. Checklist'!$K$6:$K$265,0))="","",INDEX('8. Checklist'!$D$6:$D$265,MATCH(50,'8. Checklist'!$K$6:$K$265,0))),"")</f>
        <v/>
      </c>
      <c r="F56" s="69" t="str">
        <f>IFERROR(IF(INDEX('8. Checklist'!$G$6:$G$265,MATCH(50,'8. Checklist'!$K$6:$K$265,0))="","",INDEX('8. Checklist'!$G$6:$G$265,MATCH(50,'8. Checklist'!$K$6:$K$265,0))),"")</f>
        <v/>
      </c>
      <c r="G56" s="42" t="str">
        <f>IFERROR(IF(INDEX('8. Checklist'!$E$6:$E$265,MATCH(50,'8. Checklist'!$K$6:$K$265,0))="","",INDEX('8. Checklist'!$E$6:$E$265,MATCH(50,'8. Checklist'!$K$6:$K$265,0))),"")</f>
        <v/>
      </c>
    </row>
    <row r="57" spans="1:7" x14ac:dyDescent="0.45">
      <c r="A57" s="66" t="str">
        <f>IF(COUNT('8. Checklist'!$K$6:$K$265)&lt;51,"",51)</f>
        <v/>
      </c>
      <c r="B57" s="48" t="str">
        <f>IFERROR(IF(INDEX('8. Checklist'!$A$6:$A$265,MATCH(51,'8. Checklist'!$K$6:$K$265,0))="","",INDEX('8. Checklist'!$A$6:$A$265,MATCH(51,'8. Checklist'!$K$6:$K$265,0))),"")</f>
        <v/>
      </c>
      <c r="C57" s="48" t="str">
        <f>IFERROR(IF(INDEX('8. Checklist'!$B$6:$B$265,MATCH(51,'8. Checklist'!$K$6:$K$265,0))="","",INDEX('8. Checklist'!$B$6:$B$265,MATCH(51,'8. Checklist'!$K$6:$K$265,0))),"")</f>
        <v/>
      </c>
      <c r="D57" s="48" t="str">
        <f>IFERROR(IF(INDEX('8. Checklist'!$C$6:$C$265,MATCH(51,'8. Checklist'!$K$6:$K$265,0))="","",INDEX('8. Checklist'!$C$6:$C$265,MATCH(51,'8. Checklist'!$K$6:$K$265,0))),"")</f>
        <v/>
      </c>
      <c r="E57" s="30" t="str">
        <f>IFERROR(IF(INDEX('8. Checklist'!$D$6:$D$265,MATCH(51,'8. Checklist'!$K$6:$K$265,0))="","",INDEX('8. Checklist'!$D$6:$D$265,MATCH(51,'8. Checklist'!$K$6:$K$265,0))),"")</f>
        <v/>
      </c>
      <c r="F57" s="67" t="str">
        <f>IFERROR(IF(INDEX('8. Checklist'!$G$6:$G$265,MATCH(51,'8. Checklist'!$K$6:$K$265,0))="","",INDEX('8. Checklist'!$G$6:$G$265,MATCH(51,'8. Checklist'!$K$6:$K$265,0))),"")</f>
        <v/>
      </c>
      <c r="G57" s="48" t="str">
        <f>IFERROR(IF(INDEX('8. Checklist'!$E$6:$E$265,MATCH(51,'8. Checklist'!$K$6:$K$265,0))="","",INDEX('8. Checklist'!$E$6:$E$265,MATCH(51,'8. Checklist'!$K$6:$K$265,0))),"")</f>
        <v/>
      </c>
    </row>
    <row r="58" spans="1:7" x14ac:dyDescent="0.45">
      <c r="A58" s="68" t="str">
        <f>IF(COUNT('8. Checklist'!$K$6:$K$265)&lt;52,"",52)</f>
        <v/>
      </c>
      <c r="B58" s="42" t="str">
        <f>IFERROR(IF(INDEX('8. Checklist'!$A$6:$A$265,MATCH(52,'8. Checklist'!$K$6:$K$265,0))="","",INDEX('8. Checklist'!$A$6:$A$265,MATCH(52,'8. Checklist'!$K$6:$K$265,0))),"")</f>
        <v/>
      </c>
      <c r="C58" s="42" t="str">
        <f>IFERROR(IF(INDEX('8. Checklist'!$B$6:$B$265,MATCH(52,'8. Checklist'!$K$6:$K$265,0))="","",INDEX('8. Checklist'!$B$6:$B$265,MATCH(52,'8. Checklist'!$K$6:$K$265,0))),"")</f>
        <v/>
      </c>
      <c r="D58" s="42" t="str">
        <f>IFERROR(IF(INDEX('8. Checklist'!$C$6:$C$265,MATCH(52,'8. Checklist'!$K$6:$K$265,0))="","",INDEX('8. Checklist'!$C$6:$C$265,MATCH(52,'8. Checklist'!$K$6:$K$265,0))),"")</f>
        <v/>
      </c>
      <c r="E58" s="73" t="str">
        <f>IFERROR(IF(INDEX('8. Checklist'!$D$6:$D$265,MATCH(52,'8. Checklist'!$K$6:$K$265,0))="","",INDEX('8. Checklist'!$D$6:$D$265,MATCH(52,'8. Checklist'!$K$6:$K$265,0))),"")</f>
        <v/>
      </c>
      <c r="F58" s="69" t="str">
        <f>IFERROR(IF(INDEX('8. Checklist'!$G$6:$G$265,MATCH(52,'8. Checklist'!$K$6:$K$265,0))="","",INDEX('8. Checklist'!$G$6:$G$265,MATCH(52,'8. Checklist'!$K$6:$K$265,0))),"")</f>
        <v/>
      </c>
      <c r="G58" s="42" t="str">
        <f>IFERROR(IF(INDEX('8. Checklist'!$E$6:$E$265,MATCH(52,'8. Checklist'!$K$6:$K$265,0))="","",INDEX('8. Checklist'!$E$6:$E$265,MATCH(52,'8. Checklist'!$K$6:$K$265,0))),"")</f>
        <v/>
      </c>
    </row>
    <row r="59" spans="1:7" x14ac:dyDescent="0.45">
      <c r="A59" s="66" t="str">
        <f>IF(COUNT('8. Checklist'!$K$6:$K$265)&lt;53,"",53)</f>
        <v/>
      </c>
      <c r="B59" s="48" t="str">
        <f>IFERROR(IF(INDEX('8. Checklist'!$A$6:$A$265,MATCH(53,'8. Checklist'!$K$6:$K$265,0))="","",INDEX('8. Checklist'!$A$6:$A$265,MATCH(53,'8. Checklist'!$K$6:$K$265,0))),"")</f>
        <v/>
      </c>
      <c r="C59" s="48" t="str">
        <f>IFERROR(IF(INDEX('8. Checklist'!$B$6:$B$265,MATCH(53,'8. Checklist'!$K$6:$K$265,0))="","",INDEX('8. Checklist'!$B$6:$B$265,MATCH(53,'8. Checklist'!$K$6:$K$265,0))),"")</f>
        <v/>
      </c>
      <c r="D59" s="48" t="str">
        <f>IFERROR(IF(INDEX('8. Checklist'!$C$6:$C$265,MATCH(53,'8. Checklist'!$K$6:$K$265,0))="","",INDEX('8. Checklist'!$C$6:$C$265,MATCH(53,'8. Checklist'!$K$6:$K$265,0))),"")</f>
        <v/>
      </c>
      <c r="E59" s="30" t="str">
        <f>IFERROR(IF(INDEX('8. Checklist'!$D$6:$D$265,MATCH(53,'8. Checklist'!$K$6:$K$265,0))="","",INDEX('8. Checklist'!$D$6:$D$265,MATCH(53,'8. Checklist'!$K$6:$K$265,0))),"")</f>
        <v/>
      </c>
      <c r="F59" s="67" t="str">
        <f>IFERROR(IF(INDEX('8. Checklist'!$G$6:$G$265,MATCH(53,'8. Checklist'!$K$6:$K$265,0))="","",INDEX('8. Checklist'!$G$6:$G$265,MATCH(53,'8. Checklist'!$K$6:$K$265,0))),"")</f>
        <v/>
      </c>
      <c r="G59" s="48" t="str">
        <f>IFERROR(IF(INDEX('8. Checklist'!$E$6:$E$265,MATCH(53,'8. Checklist'!$K$6:$K$265,0))="","",INDEX('8. Checklist'!$E$6:$E$265,MATCH(53,'8. Checklist'!$K$6:$K$265,0))),"")</f>
        <v/>
      </c>
    </row>
    <row r="60" spans="1:7" x14ac:dyDescent="0.45">
      <c r="A60" s="68" t="str">
        <f>IF(COUNT('8. Checklist'!$K$6:$K$265)&lt;54,"",54)</f>
        <v/>
      </c>
      <c r="B60" s="42" t="str">
        <f>IFERROR(IF(INDEX('8. Checklist'!$A$6:$A$265,MATCH(54,'8. Checklist'!$K$6:$K$265,0))="","",INDEX('8. Checklist'!$A$6:$A$265,MATCH(54,'8. Checklist'!$K$6:$K$265,0))),"")</f>
        <v/>
      </c>
      <c r="C60" s="42" t="str">
        <f>IFERROR(IF(INDEX('8. Checklist'!$B$6:$B$265,MATCH(54,'8. Checklist'!$K$6:$K$265,0))="","",INDEX('8. Checklist'!$B$6:$B$265,MATCH(54,'8. Checklist'!$K$6:$K$265,0))),"")</f>
        <v/>
      </c>
      <c r="D60" s="42" t="str">
        <f>IFERROR(IF(INDEX('8. Checklist'!$C$6:$C$265,MATCH(54,'8. Checklist'!$K$6:$K$265,0))="","",INDEX('8. Checklist'!$C$6:$C$265,MATCH(54,'8. Checklist'!$K$6:$K$265,0))),"")</f>
        <v/>
      </c>
      <c r="E60" s="73" t="str">
        <f>IFERROR(IF(INDEX('8. Checklist'!$D$6:$D$265,MATCH(54,'8. Checklist'!$K$6:$K$265,0))="","",INDEX('8. Checklist'!$D$6:$D$265,MATCH(54,'8. Checklist'!$K$6:$K$265,0))),"")</f>
        <v/>
      </c>
      <c r="F60" s="69" t="str">
        <f>IFERROR(IF(INDEX('8. Checklist'!$G$6:$G$265,MATCH(54,'8. Checklist'!$K$6:$K$265,0))="","",INDEX('8. Checklist'!$G$6:$G$265,MATCH(54,'8. Checklist'!$K$6:$K$265,0))),"")</f>
        <v/>
      </c>
      <c r="G60" s="42" t="str">
        <f>IFERROR(IF(INDEX('8. Checklist'!$E$6:$E$265,MATCH(54,'8. Checklist'!$K$6:$K$265,0))="","",INDEX('8. Checklist'!$E$6:$E$265,MATCH(54,'8. Checklist'!$K$6:$K$265,0))),"")</f>
        <v/>
      </c>
    </row>
    <row r="61" spans="1:7" x14ac:dyDescent="0.45">
      <c r="A61" s="66" t="str">
        <f>IF(COUNT('8. Checklist'!$K$6:$K$265)&lt;55,"",55)</f>
        <v/>
      </c>
      <c r="B61" s="48" t="str">
        <f>IFERROR(IF(INDEX('8. Checklist'!$A$6:$A$265,MATCH(55,'8. Checklist'!$K$6:$K$265,0))="","",INDEX('8. Checklist'!$A$6:$A$265,MATCH(55,'8. Checklist'!$K$6:$K$265,0))),"")</f>
        <v/>
      </c>
      <c r="C61" s="48" t="str">
        <f>IFERROR(IF(INDEX('8. Checklist'!$B$6:$B$265,MATCH(55,'8. Checklist'!$K$6:$K$265,0))="","",INDEX('8. Checklist'!$B$6:$B$265,MATCH(55,'8. Checklist'!$K$6:$K$265,0))),"")</f>
        <v/>
      </c>
      <c r="D61" s="48" t="str">
        <f>IFERROR(IF(INDEX('8. Checklist'!$C$6:$C$265,MATCH(55,'8. Checklist'!$K$6:$K$265,0))="","",INDEX('8. Checklist'!$C$6:$C$265,MATCH(55,'8. Checklist'!$K$6:$K$265,0))),"")</f>
        <v/>
      </c>
      <c r="E61" s="30" t="str">
        <f>IFERROR(IF(INDEX('8. Checklist'!$D$6:$D$265,MATCH(55,'8. Checklist'!$K$6:$K$265,0))="","",INDEX('8. Checklist'!$D$6:$D$265,MATCH(55,'8. Checklist'!$K$6:$K$265,0))),"")</f>
        <v/>
      </c>
      <c r="F61" s="67" t="str">
        <f>IFERROR(IF(INDEX('8. Checklist'!$G$6:$G$265,MATCH(55,'8. Checklist'!$K$6:$K$265,0))="","",INDEX('8. Checklist'!$G$6:$G$265,MATCH(55,'8. Checklist'!$K$6:$K$265,0))),"")</f>
        <v/>
      </c>
      <c r="G61" s="48" t="str">
        <f>IFERROR(IF(INDEX('8. Checklist'!$E$6:$E$265,MATCH(55,'8. Checklist'!$K$6:$K$265,0))="","",INDEX('8. Checklist'!$E$6:$E$265,MATCH(55,'8. Checklist'!$K$6:$K$265,0))),"")</f>
        <v/>
      </c>
    </row>
    <row r="62" spans="1:7" x14ac:dyDescent="0.45">
      <c r="A62" s="68" t="str">
        <f>IF(COUNT('8. Checklist'!$K$6:$K$265)&lt;56,"",56)</f>
        <v/>
      </c>
      <c r="B62" s="42" t="str">
        <f>IFERROR(IF(INDEX('8. Checklist'!$A$6:$A$265,MATCH(56,'8. Checklist'!$K$6:$K$265,0))="","",INDEX('8. Checklist'!$A$6:$A$265,MATCH(56,'8. Checklist'!$K$6:$K$265,0))),"")</f>
        <v/>
      </c>
      <c r="C62" s="42" t="str">
        <f>IFERROR(IF(INDEX('8. Checklist'!$B$6:$B$265,MATCH(56,'8. Checklist'!$K$6:$K$265,0))="","",INDEX('8. Checklist'!$B$6:$B$265,MATCH(56,'8. Checklist'!$K$6:$K$265,0))),"")</f>
        <v/>
      </c>
      <c r="D62" s="42" t="str">
        <f>IFERROR(IF(INDEX('8. Checklist'!$C$6:$C$265,MATCH(56,'8. Checklist'!$K$6:$K$265,0))="","",INDEX('8. Checklist'!$C$6:$C$265,MATCH(56,'8. Checklist'!$K$6:$K$265,0))),"")</f>
        <v/>
      </c>
      <c r="E62" s="73" t="str">
        <f>IFERROR(IF(INDEX('8. Checklist'!$D$6:$D$265,MATCH(56,'8. Checklist'!$K$6:$K$265,0))="","",INDEX('8. Checklist'!$D$6:$D$265,MATCH(56,'8. Checklist'!$K$6:$K$265,0))),"")</f>
        <v/>
      </c>
      <c r="F62" s="69" t="str">
        <f>IFERROR(IF(INDEX('8. Checklist'!$G$6:$G$265,MATCH(56,'8. Checklist'!$K$6:$K$265,0))="","",INDEX('8. Checklist'!$G$6:$G$265,MATCH(56,'8. Checklist'!$K$6:$K$265,0))),"")</f>
        <v/>
      </c>
      <c r="G62" s="42" t="str">
        <f>IFERROR(IF(INDEX('8. Checklist'!$E$6:$E$265,MATCH(56,'8. Checklist'!$K$6:$K$265,0))="","",INDEX('8. Checklist'!$E$6:$E$265,MATCH(56,'8. Checklist'!$K$6:$K$265,0))),"")</f>
        <v/>
      </c>
    </row>
    <row r="63" spans="1:7" x14ac:dyDescent="0.45">
      <c r="A63" s="66" t="str">
        <f>IF(COUNT('8. Checklist'!$K$6:$K$265)&lt;57,"",57)</f>
        <v/>
      </c>
      <c r="B63" s="48" t="str">
        <f>IFERROR(IF(INDEX('8. Checklist'!$A$6:$A$265,MATCH(57,'8. Checklist'!$K$6:$K$265,0))="","",INDEX('8. Checklist'!$A$6:$A$265,MATCH(57,'8. Checklist'!$K$6:$K$265,0))),"")</f>
        <v/>
      </c>
      <c r="C63" s="48" t="str">
        <f>IFERROR(IF(INDEX('8. Checklist'!$B$6:$B$265,MATCH(57,'8. Checklist'!$K$6:$K$265,0))="","",INDEX('8. Checklist'!$B$6:$B$265,MATCH(57,'8. Checklist'!$K$6:$K$265,0))),"")</f>
        <v/>
      </c>
      <c r="D63" s="48" t="str">
        <f>IFERROR(IF(INDEX('8. Checklist'!$C$6:$C$265,MATCH(57,'8. Checklist'!$K$6:$K$265,0))="","",INDEX('8. Checklist'!$C$6:$C$265,MATCH(57,'8. Checklist'!$K$6:$K$265,0))),"")</f>
        <v/>
      </c>
      <c r="E63" s="30" t="str">
        <f>IFERROR(IF(INDEX('8. Checklist'!$D$6:$D$265,MATCH(57,'8. Checklist'!$K$6:$K$265,0))="","",INDEX('8. Checklist'!$D$6:$D$265,MATCH(57,'8. Checklist'!$K$6:$K$265,0))),"")</f>
        <v/>
      </c>
      <c r="F63" s="67" t="str">
        <f>IFERROR(IF(INDEX('8. Checklist'!$G$6:$G$265,MATCH(57,'8. Checklist'!$K$6:$K$265,0))="","",INDEX('8. Checklist'!$G$6:$G$265,MATCH(57,'8. Checklist'!$K$6:$K$265,0))),"")</f>
        <v/>
      </c>
      <c r="G63" s="48" t="str">
        <f>IFERROR(IF(INDEX('8. Checklist'!$E$6:$E$265,MATCH(57,'8. Checklist'!$K$6:$K$265,0))="","",INDEX('8. Checklist'!$E$6:$E$265,MATCH(57,'8. Checklist'!$K$6:$K$265,0))),"")</f>
        <v/>
      </c>
    </row>
    <row r="64" spans="1:7" x14ac:dyDescent="0.45">
      <c r="A64" s="68" t="str">
        <f>IF(COUNT('8. Checklist'!$K$6:$K$265)&lt;58,"",58)</f>
        <v/>
      </c>
      <c r="B64" s="42" t="str">
        <f>IFERROR(IF(INDEX('8. Checklist'!$A$6:$A$265,MATCH(58,'8. Checklist'!$K$6:$K$265,0))="","",INDEX('8. Checklist'!$A$6:$A$265,MATCH(58,'8. Checklist'!$K$6:$K$265,0))),"")</f>
        <v/>
      </c>
      <c r="C64" s="42" t="str">
        <f>IFERROR(IF(INDEX('8. Checklist'!$B$6:$B$265,MATCH(58,'8. Checklist'!$K$6:$K$265,0))="","",INDEX('8. Checklist'!$B$6:$B$265,MATCH(58,'8. Checklist'!$K$6:$K$265,0))),"")</f>
        <v/>
      </c>
      <c r="D64" s="42" t="str">
        <f>IFERROR(IF(INDEX('8. Checklist'!$C$6:$C$265,MATCH(58,'8. Checklist'!$K$6:$K$265,0))="","",INDEX('8. Checklist'!$C$6:$C$265,MATCH(58,'8. Checklist'!$K$6:$K$265,0))),"")</f>
        <v/>
      </c>
      <c r="E64" s="73" t="str">
        <f>IFERROR(IF(INDEX('8. Checklist'!$D$6:$D$265,MATCH(58,'8. Checklist'!$K$6:$K$265,0))="","",INDEX('8. Checklist'!$D$6:$D$265,MATCH(58,'8. Checklist'!$K$6:$K$265,0))),"")</f>
        <v/>
      </c>
      <c r="F64" s="69" t="str">
        <f>IFERROR(IF(INDEX('8. Checklist'!$G$6:$G$265,MATCH(58,'8. Checklist'!$K$6:$K$265,0))="","",INDEX('8. Checklist'!$G$6:$G$265,MATCH(58,'8. Checklist'!$K$6:$K$265,0))),"")</f>
        <v/>
      </c>
      <c r="G64" s="42" t="str">
        <f>IFERROR(IF(INDEX('8. Checklist'!$E$6:$E$265,MATCH(58,'8. Checklist'!$K$6:$K$265,0))="","",INDEX('8. Checklist'!$E$6:$E$265,MATCH(58,'8. Checklist'!$K$6:$K$265,0))),"")</f>
        <v/>
      </c>
    </row>
    <row r="65" spans="1:7" x14ac:dyDescent="0.45">
      <c r="A65" s="66" t="str">
        <f>IF(COUNT('8. Checklist'!$K$6:$K$265)&lt;59,"",59)</f>
        <v/>
      </c>
      <c r="B65" s="48" t="str">
        <f>IFERROR(IF(INDEX('8. Checklist'!$A$6:$A$265,MATCH(59,'8. Checklist'!$K$6:$K$265,0))="","",INDEX('8. Checklist'!$A$6:$A$265,MATCH(59,'8. Checklist'!$K$6:$K$265,0))),"")</f>
        <v/>
      </c>
      <c r="C65" s="48" t="str">
        <f>IFERROR(IF(INDEX('8. Checklist'!$B$6:$B$265,MATCH(59,'8. Checklist'!$K$6:$K$265,0))="","",INDEX('8. Checklist'!$B$6:$B$265,MATCH(59,'8. Checklist'!$K$6:$K$265,0))),"")</f>
        <v/>
      </c>
      <c r="D65" s="48" t="str">
        <f>IFERROR(IF(INDEX('8. Checklist'!$C$6:$C$265,MATCH(59,'8. Checklist'!$K$6:$K$265,0))="","",INDEX('8. Checklist'!$C$6:$C$265,MATCH(59,'8. Checklist'!$K$6:$K$265,0))),"")</f>
        <v/>
      </c>
      <c r="E65" s="30" t="str">
        <f>IFERROR(IF(INDEX('8. Checklist'!$D$6:$D$265,MATCH(59,'8. Checklist'!$K$6:$K$265,0))="","",INDEX('8. Checklist'!$D$6:$D$265,MATCH(59,'8. Checklist'!$K$6:$K$265,0))),"")</f>
        <v/>
      </c>
      <c r="F65" s="67" t="str">
        <f>IFERROR(IF(INDEX('8. Checklist'!$G$6:$G$265,MATCH(59,'8. Checklist'!$K$6:$K$265,0))="","",INDEX('8. Checklist'!$G$6:$G$265,MATCH(59,'8. Checklist'!$K$6:$K$265,0))),"")</f>
        <v/>
      </c>
      <c r="G65" s="48" t="str">
        <f>IFERROR(IF(INDEX('8. Checklist'!$E$6:$E$265,MATCH(59,'8. Checklist'!$K$6:$K$265,0))="","",INDEX('8. Checklist'!$E$6:$E$265,MATCH(59,'8. Checklist'!$K$6:$K$265,0))),"")</f>
        <v/>
      </c>
    </row>
    <row r="66" spans="1:7" x14ac:dyDescent="0.45">
      <c r="A66" s="68" t="str">
        <f>IF(COUNT('8. Checklist'!$K$6:$K$265)&lt;60,"",60)</f>
        <v/>
      </c>
      <c r="B66" s="42" t="str">
        <f>IFERROR(IF(INDEX('8. Checklist'!$A$6:$A$265,MATCH(60,'8. Checklist'!$K$6:$K$265,0))="","",INDEX('8. Checklist'!$A$6:$A$265,MATCH(60,'8. Checklist'!$K$6:$K$265,0))),"")</f>
        <v/>
      </c>
      <c r="C66" s="42" t="str">
        <f>IFERROR(IF(INDEX('8. Checklist'!$B$6:$B$265,MATCH(60,'8. Checklist'!$K$6:$K$265,0))="","",INDEX('8. Checklist'!$B$6:$B$265,MATCH(60,'8. Checklist'!$K$6:$K$265,0))),"")</f>
        <v/>
      </c>
      <c r="D66" s="42" t="str">
        <f>IFERROR(IF(INDEX('8. Checklist'!$C$6:$C$265,MATCH(60,'8. Checklist'!$K$6:$K$265,0))="","",INDEX('8. Checklist'!$C$6:$C$265,MATCH(60,'8. Checklist'!$K$6:$K$265,0))),"")</f>
        <v/>
      </c>
      <c r="E66" s="73" t="str">
        <f>IFERROR(IF(INDEX('8. Checklist'!$D$6:$D$265,MATCH(60,'8. Checklist'!$K$6:$K$265,0))="","",INDEX('8. Checklist'!$D$6:$D$265,MATCH(60,'8. Checklist'!$K$6:$K$265,0))),"")</f>
        <v/>
      </c>
      <c r="F66" s="69" t="str">
        <f>IFERROR(IF(INDEX('8. Checklist'!$G$6:$G$265,MATCH(60,'8. Checklist'!$K$6:$K$265,0))="","",INDEX('8. Checklist'!$G$6:$G$265,MATCH(60,'8. Checklist'!$K$6:$K$265,0))),"")</f>
        <v/>
      </c>
      <c r="G66" s="42" t="str">
        <f>IFERROR(IF(INDEX('8. Checklist'!$E$6:$E$265,MATCH(60,'8. Checklist'!$K$6:$K$265,0))="","",INDEX('8. Checklist'!$E$6:$E$265,MATCH(60,'8. Checklist'!$K$6:$K$265,0))),"")</f>
        <v/>
      </c>
    </row>
  </sheetData>
  <mergeCells count="2">
    <mergeCell ref="A1:G1"/>
    <mergeCell ref="A2:G2"/>
  </mergeCells>
  <dataValidations count="1">
    <dataValidation type="list" sqref="C4" xr:uid="{00000000-0002-0000-0B00-000000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E8641C"/>
    <pageSetUpPr fitToPage="1"/>
  </sheetPr>
  <dimension ref="A1:O65"/>
  <sheetViews>
    <sheetView showGridLines="0" zoomScaleNormal="100" workbookViewId="0">
      <pane ySplit="5" topLeftCell="A6" activePane="bottomLeft" state="frozen"/>
      <selection pane="bottomLeft"/>
    </sheetView>
  </sheetViews>
  <sheetFormatPr defaultColWidth="8.6640625" defaultRowHeight="14.25" x14ac:dyDescent="0.45"/>
  <cols>
    <col min="1" max="1" width="9" customWidth="1"/>
    <col min="2" max="2" width="22" customWidth="1"/>
    <col min="3" max="3" width="40" customWidth="1"/>
    <col min="4" max="4" width="18" customWidth="1"/>
    <col min="5" max="5" width="13" customWidth="1"/>
    <col min="6" max="6" width="12" customWidth="1"/>
    <col min="7" max="7" width="13" customWidth="1"/>
    <col min="8" max="8" width="34" customWidth="1"/>
    <col min="9" max="9" width="15" customWidth="1"/>
    <col min="10" max="10" width="14" customWidth="1"/>
    <col min="11" max="11" width="13" customWidth="1"/>
    <col min="12" max="12" width="18" customWidth="1"/>
    <col min="13" max="13" width="26" customWidth="1"/>
    <col min="14" max="14" width="16" customWidth="1"/>
    <col min="15" max="15" width="13" customWidth="1"/>
  </cols>
  <sheetData>
    <row r="1" spans="1:15" ht="30" customHeight="1" x14ac:dyDescent="0.45">
      <c r="A1" s="122" t="s">
        <v>1355</v>
      </c>
      <c r="B1" s="122"/>
      <c r="C1" s="122"/>
      <c r="D1" s="122"/>
      <c r="E1" s="122"/>
      <c r="F1" s="122"/>
      <c r="G1" s="122"/>
      <c r="H1" s="122"/>
      <c r="I1" s="122"/>
      <c r="J1" s="122"/>
      <c r="K1" s="122"/>
      <c r="L1" s="122"/>
      <c r="M1" s="122"/>
      <c r="N1" s="122"/>
      <c r="O1" s="122"/>
    </row>
    <row r="2" spans="1:15" ht="18" customHeight="1" x14ac:dyDescent="0.45">
      <c r="A2" s="123" t="s">
        <v>1356</v>
      </c>
      <c r="B2" s="123"/>
      <c r="C2" s="123"/>
      <c r="D2" s="123"/>
      <c r="E2" s="123"/>
      <c r="F2" s="123"/>
      <c r="G2" s="123"/>
      <c r="H2" s="123"/>
      <c r="I2" s="123"/>
      <c r="J2" s="123"/>
      <c r="K2" s="123"/>
      <c r="L2" s="123"/>
      <c r="M2" s="123"/>
      <c r="N2" s="123"/>
      <c r="O2" s="123"/>
    </row>
    <row r="3" spans="1:15" ht="21.75" customHeight="1" x14ac:dyDescent="0.45">
      <c r="A3" s="124" t="s">
        <v>1357</v>
      </c>
      <c r="B3" s="124"/>
      <c r="C3" s="124"/>
      <c r="D3" s="124"/>
      <c r="E3" s="124"/>
      <c r="F3" s="124"/>
      <c r="G3" s="124"/>
      <c r="H3" s="124"/>
      <c r="I3" s="124"/>
      <c r="J3" s="124"/>
      <c r="K3" s="124"/>
      <c r="L3" s="124"/>
      <c r="M3" s="124"/>
      <c r="N3" s="124"/>
      <c r="O3" s="124"/>
    </row>
    <row r="4" spans="1:15" x14ac:dyDescent="0.45">
      <c r="A4" s="74" t="s">
        <v>1358</v>
      </c>
    </row>
    <row r="5" spans="1:15" ht="31.5" customHeight="1" x14ac:dyDescent="0.45">
      <c r="A5" s="32" t="s">
        <v>1359</v>
      </c>
      <c r="B5" s="32" t="s">
        <v>1360</v>
      </c>
      <c r="C5" s="32" t="s">
        <v>1361</v>
      </c>
      <c r="D5" s="32" t="s">
        <v>1362</v>
      </c>
      <c r="E5" s="32" t="s">
        <v>1363</v>
      </c>
      <c r="F5" s="32" t="s">
        <v>1364</v>
      </c>
      <c r="G5" s="32" t="s">
        <v>1365</v>
      </c>
      <c r="H5" s="32" t="s">
        <v>1366</v>
      </c>
      <c r="I5" s="32" t="s">
        <v>1367</v>
      </c>
      <c r="J5" s="32" t="s">
        <v>1368</v>
      </c>
      <c r="K5" s="32" t="s">
        <v>1369</v>
      </c>
      <c r="L5" s="32" t="s">
        <v>648</v>
      </c>
      <c r="M5" s="32" t="s">
        <v>1370</v>
      </c>
      <c r="N5" s="32" t="s">
        <v>1371</v>
      </c>
      <c r="O5" s="32" t="s">
        <v>1372</v>
      </c>
    </row>
    <row r="6" spans="1:15" ht="23.25" x14ac:dyDescent="0.45">
      <c r="A6" s="75" t="s">
        <v>1373</v>
      </c>
      <c r="B6" s="75" t="s">
        <v>151</v>
      </c>
      <c r="C6" s="75" t="s">
        <v>1374</v>
      </c>
      <c r="D6" s="75" t="s">
        <v>1375</v>
      </c>
      <c r="E6" s="75" t="s">
        <v>1376</v>
      </c>
      <c r="F6" s="75" t="s">
        <v>1377</v>
      </c>
      <c r="G6" s="76">
        <f t="shared" ref="G6:G37" si="0">IF(OR($E6="",$F6=""),"",VALUE(LEFT($E6,1))*VALUE(LEFT($F6,1)))</f>
        <v>15</v>
      </c>
      <c r="H6" s="75" t="s">
        <v>1378</v>
      </c>
      <c r="I6" s="75" t="s">
        <v>1379</v>
      </c>
      <c r="J6" s="75" t="s">
        <v>1377</v>
      </c>
      <c r="K6" s="76">
        <f t="shared" ref="K6:K37" si="1">IF(OR($I6="",$J6=""),"",VALUE(LEFT($I6,1))*VALUE(LEFT($J6,1)))</f>
        <v>10</v>
      </c>
      <c r="L6" s="75" t="s">
        <v>1380</v>
      </c>
      <c r="M6" s="75" t="s">
        <v>1381</v>
      </c>
      <c r="N6" s="75" t="s">
        <v>1382</v>
      </c>
      <c r="O6" s="63"/>
    </row>
    <row r="7" spans="1:15" x14ac:dyDescent="0.45">
      <c r="A7" s="63"/>
      <c r="B7" s="63"/>
      <c r="C7" s="63"/>
      <c r="D7" s="63"/>
      <c r="E7" s="63"/>
      <c r="F7" s="63"/>
      <c r="G7" s="76" t="str">
        <f t="shared" si="0"/>
        <v/>
      </c>
      <c r="H7" s="63"/>
      <c r="I7" s="63"/>
      <c r="J7" s="63"/>
      <c r="K7" s="76" t="str">
        <f t="shared" si="1"/>
        <v/>
      </c>
      <c r="L7" s="63"/>
      <c r="M7" s="63"/>
      <c r="N7" s="63"/>
      <c r="O7" s="63"/>
    </row>
    <row r="8" spans="1:15" x14ac:dyDescent="0.45">
      <c r="A8" s="63"/>
      <c r="B8" s="63"/>
      <c r="C8" s="63"/>
      <c r="D8" s="63"/>
      <c r="E8" s="63"/>
      <c r="F8" s="63"/>
      <c r="G8" s="76" t="str">
        <f t="shared" si="0"/>
        <v/>
      </c>
      <c r="H8" s="63"/>
      <c r="I8" s="63"/>
      <c r="J8" s="63"/>
      <c r="K8" s="76" t="str">
        <f t="shared" si="1"/>
        <v/>
      </c>
      <c r="L8" s="63"/>
      <c r="M8" s="63"/>
      <c r="N8" s="63"/>
      <c r="O8" s="63"/>
    </row>
    <row r="9" spans="1:15" x14ac:dyDescent="0.45">
      <c r="A9" s="63"/>
      <c r="B9" s="63"/>
      <c r="C9" s="63"/>
      <c r="D9" s="63"/>
      <c r="E9" s="63"/>
      <c r="F9" s="63"/>
      <c r="G9" s="76" t="str">
        <f t="shared" si="0"/>
        <v/>
      </c>
      <c r="H9" s="63"/>
      <c r="I9" s="63"/>
      <c r="J9" s="63"/>
      <c r="K9" s="76" t="str">
        <f t="shared" si="1"/>
        <v/>
      </c>
      <c r="L9" s="63"/>
      <c r="M9" s="63"/>
      <c r="N9" s="63"/>
      <c r="O9" s="63"/>
    </row>
    <row r="10" spans="1:15" x14ac:dyDescent="0.45">
      <c r="A10" s="63"/>
      <c r="B10" s="63"/>
      <c r="C10" s="63"/>
      <c r="D10" s="63"/>
      <c r="E10" s="63"/>
      <c r="F10" s="63"/>
      <c r="G10" s="76" t="str">
        <f t="shared" si="0"/>
        <v/>
      </c>
      <c r="H10" s="63"/>
      <c r="I10" s="63"/>
      <c r="J10" s="63"/>
      <c r="K10" s="76" t="str">
        <f t="shared" si="1"/>
        <v/>
      </c>
      <c r="L10" s="63"/>
      <c r="M10" s="63"/>
      <c r="N10" s="63"/>
      <c r="O10" s="63"/>
    </row>
    <row r="11" spans="1:15" x14ac:dyDescent="0.45">
      <c r="A11" s="63"/>
      <c r="B11" s="63"/>
      <c r="C11" s="63"/>
      <c r="D11" s="63"/>
      <c r="E11" s="63"/>
      <c r="F11" s="63"/>
      <c r="G11" s="76" t="str">
        <f t="shared" si="0"/>
        <v/>
      </c>
      <c r="H11" s="63"/>
      <c r="I11" s="63"/>
      <c r="J11" s="63"/>
      <c r="K11" s="76" t="str">
        <f t="shared" si="1"/>
        <v/>
      </c>
      <c r="L11" s="63"/>
      <c r="M11" s="63"/>
      <c r="N11" s="63"/>
      <c r="O11" s="63"/>
    </row>
    <row r="12" spans="1:15" x14ac:dyDescent="0.45">
      <c r="A12" s="63"/>
      <c r="B12" s="63"/>
      <c r="C12" s="63"/>
      <c r="D12" s="63"/>
      <c r="E12" s="63"/>
      <c r="F12" s="63"/>
      <c r="G12" s="76" t="str">
        <f t="shared" si="0"/>
        <v/>
      </c>
      <c r="H12" s="63"/>
      <c r="I12" s="63"/>
      <c r="J12" s="63"/>
      <c r="K12" s="76" t="str">
        <f t="shared" si="1"/>
        <v/>
      </c>
      <c r="L12" s="63"/>
      <c r="M12" s="63"/>
      <c r="N12" s="63"/>
      <c r="O12" s="63"/>
    </row>
    <row r="13" spans="1:15" x14ac:dyDescent="0.45">
      <c r="A13" s="63"/>
      <c r="B13" s="63"/>
      <c r="C13" s="63"/>
      <c r="D13" s="63"/>
      <c r="E13" s="63"/>
      <c r="F13" s="63"/>
      <c r="G13" s="76" t="str">
        <f t="shared" si="0"/>
        <v/>
      </c>
      <c r="H13" s="63"/>
      <c r="I13" s="63"/>
      <c r="J13" s="63"/>
      <c r="K13" s="76" t="str">
        <f t="shared" si="1"/>
        <v/>
      </c>
      <c r="L13" s="63"/>
      <c r="M13" s="63"/>
      <c r="N13" s="63"/>
      <c r="O13" s="63"/>
    </row>
    <row r="14" spans="1:15" x14ac:dyDescent="0.45">
      <c r="A14" s="63"/>
      <c r="B14" s="63"/>
      <c r="C14" s="63"/>
      <c r="D14" s="63"/>
      <c r="E14" s="63"/>
      <c r="F14" s="63"/>
      <c r="G14" s="76" t="str">
        <f t="shared" si="0"/>
        <v/>
      </c>
      <c r="H14" s="63"/>
      <c r="I14" s="63"/>
      <c r="J14" s="63"/>
      <c r="K14" s="76" t="str">
        <f t="shared" si="1"/>
        <v/>
      </c>
      <c r="L14" s="63"/>
      <c r="M14" s="63"/>
      <c r="N14" s="63"/>
      <c r="O14" s="63"/>
    </row>
    <row r="15" spans="1:15" x14ac:dyDescent="0.45">
      <c r="A15" s="63"/>
      <c r="B15" s="63"/>
      <c r="C15" s="63"/>
      <c r="D15" s="63"/>
      <c r="E15" s="63"/>
      <c r="F15" s="63"/>
      <c r="G15" s="76" t="str">
        <f t="shared" si="0"/>
        <v/>
      </c>
      <c r="H15" s="63"/>
      <c r="I15" s="63"/>
      <c r="J15" s="63"/>
      <c r="K15" s="76" t="str">
        <f t="shared" si="1"/>
        <v/>
      </c>
      <c r="L15" s="63"/>
      <c r="M15" s="63"/>
      <c r="N15" s="63"/>
      <c r="O15" s="63"/>
    </row>
    <row r="16" spans="1:15" x14ac:dyDescent="0.45">
      <c r="A16" s="63"/>
      <c r="B16" s="63"/>
      <c r="C16" s="63"/>
      <c r="D16" s="63"/>
      <c r="E16" s="63"/>
      <c r="F16" s="63"/>
      <c r="G16" s="76" t="str">
        <f t="shared" si="0"/>
        <v/>
      </c>
      <c r="H16" s="63"/>
      <c r="I16" s="63"/>
      <c r="J16" s="63"/>
      <c r="K16" s="76" t="str">
        <f t="shared" si="1"/>
        <v/>
      </c>
      <c r="L16" s="63"/>
      <c r="M16" s="63"/>
      <c r="N16" s="63"/>
      <c r="O16" s="63"/>
    </row>
    <row r="17" spans="1:15" x14ac:dyDescent="0.45">
      <c r="A17" s="63"/>
      <c r="B17" s="63"/>
      <c r="C17" s="63"/>
      <c r="D17" s="63"/>
      <c r="E17" s="63"/>
      <c r="F17" s="63"/>
      <c r="G17" s="76" t="str">
        <f t="shared" si="0"/>
        <v/>
      </c>
      <c r="H17" s="63"/>
      <c r="I17" s="63"/>
      <c r="J17" s="63"/>
      <c r="K17" s="76" t="str">
        <f t="shared" si="1"/>
        <v/>
      </c>
      <c r="L17" s="63"/>
      <c r="M17" s="63"/>
      <c r="N17" s="63"/>
      <c r="O17" s="63"/>
    </row>
    <row r="18" spans="1:15" x14ac:dyDescent="0.45">
      <c r="A18" s="63"/>
      <c r="B18" s="63"/>
      <c r="C18" s="63"/>
      <c r="D18" s="63"/>
      <c r="E18" s="63"/>
      <c r="F18" s="63"/>
      <c r="G18" s="76" t="str">
        <f t="shared" si="0"/>
        <v/>
      </c>
      <c r="H18" s="63"/>
      <c r="I18" s="63"/>
      <c r="J18" s="63"/>
      <c r="K18" s="76" t="str">
        <f t="shared" si="1"/>
        <v/>
      </c>
      <c r="L18" s="63"/>
      <c r="M18" s="63"/>
      <c r="N18" s="63"/>
      <c r="O18" s="63"/>
    </row>
    <row r="19" spans="1:15" x14ac:dyDescent="0.45">
      <c r="A19" s="63"/>
      <c r="B19" s="63"/>
      <c r="C19" s="63"/>
      <c r="D19" s="63"/>
      <c r="E19" s="63"/>
      <c r="F19" s="63"/>
      <c r="G19" s="76" t="str">
        <f t="shared" si="0"/>
        <v/>
      </c>
      <c r="H19" s="63"/>
      <c r="I19" s="63"/>
      <c r="J19" s="63"/>
      <c r="K19" s="76" t="str">
        <f t="shared" si="1"/>
        <v/>
      </c>
      <c r="L19" s="63"/>
      <c r="M19" s="63"/>
      <c r="N19" s="63"/>
      <c r="O19" s="63"/>
    </row>
    <row r="20" spans="1:15" x14ac:dyDescent="0.45">
      <c r="A20" s="63"/>
      <c r="B20" s="63"/>
      <c r="C20" s="63"/>
      <c r="D20" s="63"/>
      <c r="E20" s="63"/>
      <c r="F20" s="63"/>
      <c r="G20" s="76" t="str">
        <f t="shared" si="0"/>
        <v/>
      </c>
      <c r="H20" s="63"/>
      <c r="I20" s="63"/>
      <c r="J20" s="63"/>
      <c r="K20" s="76" t="str">
        <f t="shared" si="1"/>
        <v/>
      </c>
      <c r="L20" s="63"/>
      <c r="M20" s="63"/>
      <c r="N20" s="63"/>
      <c r="O20" s="63"/>
    </row>
    <row r="21" spans="1:15" x14ac:dyDescent="0.45">
      <c r="A21" s="63"/>
      <c r="B21" s="63"/>
      <c r="C21" s="63"/>
      <c r="D21" s="63"/>
      <c r="E21" s="63"/>
      <c r="F21" s="63"/>
      <c r="G21" s="76" t="str">
        <f t="shared" si="0"/>
        <v/>
      </c>
      <c r="H21" s="63"/>
      <c r="I21" s="63"/>
      <c r="J21" s="63"/>
      <c r="K21" s="76" t="str">
        <f t="shared" si="1"/>
        <v/>
      </c>
      <c r="L21" s="63"/>
      <c r="M21" s="63"/>
      <c r="N21" s="63"/>
      <c r="O21" s="63"/>
    </row>
    <row r="22" spans="1:15" x14ac:dyDescent="0.45">
      <c r="A22" s="63"/>
      <c r="B22" s="63"/>
      <c r="C22" s="63"/>
      <c r="D22" s="63"/>
      <c r="E22" s="63"/>
      <c r="F22" s="63"/>
      <c r="G22" s="76" t="str">
        <f t="shared" si="0"/>
        <v/>
      </c>
      <c r="H22" s="63"/>
      <c r="I22" s="63"/>
      <c r="J22" s="63"/>
      <c r="K22" s="76" t="str">
        <f t="shared" si="1"/>
        <v/>
      </c>
      <c r="L22" s="63"/>
      <c r="M22" s="63"/>
      <c r="N22" s="63"/>
      <c r="O22" s="63"/>
    </row>
    <row r="23" spans="1:15" x14ac:dyDescent="0.45">
      <c r="A23" s="63"/>
      <c r="B23" s="63"/>
      <c r="C23" s="63"/>
      <c r="D23" s="63"/>
      <c r="E23" s="63"/>
      <c r="F23" s="63"/>
      <c r="G23" s="76" t="str">
        <f t="shared" si="0"/>
        <v/>
      </c>
      <c r="H23" s="63"/>
      <c r="I23" s="63"/>
      <c r="J23" s="63"/>
      <c r="K23" s="76" t="str">
        <f t="shared" si="1"/>
        <v/>
      </c>
      <c r="L23" s="63"/>
      <c r="M23" s="63"/>
      <c r="N23" s="63"/>
      <c r="O23" s="63"/>
    </row>
    <row r="24" spans="1:15" x14ac:dyDescent="0.45">
      <c r="A24" s="63"/>
      <c r="B24" s="63"/>
      <c r="C24" s="63"/>
      <c r="D24" s="63"/>
      <c r="E24" s="63"/>
      <c r="F24" s="63"/>
      <c r="G24" s="76" t="str">
        <f t="shared" si="0"/>
        <v/>
      </c>
      <c r="H24" s="63"/>
      <c r="I24" s="63"/>
      <c r="J24" s="63"/>
      <c r="K24" s="76" t="str">
        <f t="shared" si="1"/>
        <v/>
      </c>
      <c r="L24" s="63"/>
      <c r="M24" s="63"/>
      <c r="N24" s="63"/>
      <c r="O24" s="63"/>
    </row>
    <row r="25" spans="1:15" x14ac:dyDescent="0.45">
      <c r="A25" s="63"/>
      <c r="B25" s="63"/>
      <c r="C25" s="63"/>
      <c r="D25" s="63"/>
      <c r="E25" s="63"/>
      <c r="F25" s="63"/>
      <c r="G25" s="76" t="str">
        <f t="shared" si="0"/>
        <v/>
      </c>
      <c r="H25" s="63"/>
      <c r="I25" s="63"/>
      <c r="J25" s="63"/>
      <c r="K25" s="76" t="str">
        <f t="shared" si="1"/>
        <v/>
      </c>
      <c r="L25" s="63"/>
      <c r="M25" s="63"/>
      <c r="N25" s="63"/>
      <c r="O25" s="63"/>
    </row>
    <row r="26" spans="1:15" x14ac:dyDescent="0.45">
      <c r="A26" s="63"/>
      <c r="B26" s="63"/>
      <c r="C26" s="63"/>
      <c r="D26" s="63"/>
      <c r="E26" s="63"/>
      <c r="F26" s="63"/>
      <c r="G26" s="76" t="str">
        <f t="shared" si="0"/>
        <v/>
      </c>
      <c r="H26" s="63"/>
      <c r="I26" s="63"/>
      <c r="J26" s="63"/>
      <c r="K26" s="76" t="str">
        <f t="shared" si="1"/>
        <v/>
      </c>
      <c r="L26" s="63"/>
      <c r="M26" s="63"/>
      <c r="N26" s="63"/>
      <c r="O26" s="63"/>
    </row>
    <row r="27" spans="1:15" x14ac:dyDescent="0.45">
      <c r="A27" s="63"/>
      <c r="B27" s="63"/>
      <c r="C27" s="63"/>
      <c r="D27" s="63"/>
      <c r="E27" s="63"/>
      <c r="F27" s="63"/>
      <c r="G27" s="76" t="str">
        <f t="shared" si="0"/>
        <v/>
      </c>
      <c r="H27" s="63"/>
      <c r="I27" s="63"/>
      <c r="J27" s="63"/>
      <c r="K27" s="76" t="str">
        <f t="shared" si="1"/>
        <v/>
      </c>
      <c r="L27" s="63"/>
      <c r="M27" s="63"/>
      <c r="N27" s="63"/>
      <c r="O27" s="63"/>
    </row>
    <row r="28" spans="1:15" x14ac:dyDescent="0.45">
      <c r="A28" s="63"/>
      <c r="B28" s="63"/>
      <c r="C28" s="63"/>
      <c r="D28" s="63"/>
      <c r="E28" s="63"/>
      <c r="F28" s="63"/>
      <c r="G28" s="76" t="str">
        <f t="shared" si="0"/>
        <v/>
      </c>
      <c r="H28" s="63"/>
      <c r="I28" s="63"/>
      <c r="J28" s="63"/>
      <c r="K28" s="76" t="str">
        <f t="shared" si="1"/>
        <v/>
      </c>
      <c r="L28" s="63"/>
      <c r="M28" s="63"/>
      <c r="N28" s="63"/>
      <c r="O28" s="63"/>
    </row>
    <row r="29" spans="1:15" x14ac:dyDescent="0.45">
      <c r="A29" s="63"/>
      <c r="B29" s="63"/>
      <c r="C29" s="63"/>
      <c r="D29" s="63"/>
      <c r="E29" s="63"/>
      <c r="F29" s="63"/>
      <c r="G29" s="76" t="str">
        <f t="shared" si="0"/>
        <v/>
      </c>
      <c r="H29" s="63"/>
      <c r="I29" s="63"/>
      <c r="J29" s="63"/>
      <c r="K29" s="76" t="str">
        <f t="shared" si="1"/>
        <v/>
      </c>
      <c r="L29" s="63"/>
      <c r="M29" s="63"/>
      <c r="N29" s="63"/>
      <c r="O29" s="63"/>
    </row>
    <row r="30" spans="1:15" x14ac:dyDescent="0.45">
      <c r="A30" s="63"/>
      <c r="B30" s="63"/>
      <c r="C30" s="63"/>
      <c r="D30" s="63"/>
      <c r="E30" s="63"/>
      <c r="F30" s="63"/>
      <c r="G30" s="76" t="str">
        <f t="shared" si="0"/>
        <v/>
      </c>
      <c r="H30" s="63"/>
      <c r="I30" s="63"/>
      <c r="J30" s="63"/>
      <c r="K30" s="76" t="str">
        <f t="shared" si="1"/>
        <v/>
      </c>
      <c r="L30" s="63"/>
      <c r="M30" s="63"/>
      <c r="N30" s="63"/>
      <c r="O30" s="63"/>
    </row>
    <row r="31" spans="1:15" x14ac:dyDescent="0.45">
      <c r="A31" s="63"/>
      <c r="B31" s="63"/>
      <c r="C31" s="63"/>
      <c r="D31" s="63"/>
      <c r="E31" s="63"/>
      <c r="F31" s="63"/>
      <c r="G31" s="76" t="str">
        <f t="shared" si="0"/>
        <v/>
      </c>
      <c r="H31" s="63"/>
      <c r="I31" s="63"/>
      <c r="J31" s="63"/>
      <c r="K31" s="76" t="str">
        <f t="shared" si="1"/>
        <v/>
      </c>
      <c r="L31" s="63"/>
      <c r="M31" s="63"/>
      <c r="N31" s="63"/>
      <c r="O31" s="63"/>
    </row>
    <row r="32" spans="1:15" x14ac:dyDescent="0.45">
      <c r="A32" s="63"/>
      <c r="B32" s="63"/>
      <c r="C32" s="63"/>
      <c r="D32" s="63"/>
      <c r="E32" s="63"/>
      <c r="F32" s="63"/>
      <c r="G32" s="76" t="str">
        <f t="shared" si="0"/>
        <v/>
      </c>
      <c r="H32" s="63"/>
      <c r="I32" s="63"/>
      <c r="J32" s="63"/>
      <c r="K32" s="76" t="str">
        <f t="shared" si="1"/>
        <v/>
      </c>
      <c r="L32" s="63"/>
      <c r="M32" s="63"/>
      <c r="N32" s="63"/>
      <c r="O32" s="63"/>
    </row>
    <row r="33" spans="1:15" x14ac:dyDescent="0.45">
      <c r="A33" s="63"/>
      <c r="B33" s="63"/>
      <c r="C33" s="63"/>
      <c r="D33" s="63"/>
      <c r="E33" s="63"/>
      <c r="F33" s="63"/>
      <c r="G33" s="76" t="str">
        <f t="shared" si="0"/>
        <v/>
      </c>
      <c r="H33" s="63"/>
      <c r="I33" s="63"/>
      <c r="J33" s="63"/>
      <c r="K33" s="76" t="str">
        <f t="shared" si="1"/>
        <v/>
      </c>
      <c r="L33" s="63"/>
      <c r="M33" s="63"/>
      <c r="N33" s="63"/>
      <c r="O33" s="63"/>
    </row>
    <row r="34" spans="1:15" x14ac:dyDescent="0.45">
      <c r="A34" s="63"/>
      <c r="B34" s="63"/>
      <c r="C34" s="63"/>
      <c r="D34" s="63"/>
      <c r="E34" s="63"/>
      <c r="F34" s="63"/>
      <c r="G34" s="76" t="str">
        <f t="shared" si="0"/>
        <v/>
      </c>
      <c r="H34" s="63"/>
      <c r="I34" s="63"/>
      <c r="J34" s="63"/>
      <c r="K34" s="76" t="str">
        <f t="shared" si="1"/>
        <v/>
      </c>
      <c r="L34" s="63"/>
      <c r="M34" s="63"/>
      <c r="N34" s="63"/>
      <c r="O34" s="63"/>
    </row>
    <row r="35" spans="1:15" x14ac:dyDescent="0.45">
      <c r="A35" s="63"/>
      <c r="B35" s="63"/>
      <c r="C35" s="63"/>
      <c r="D35" s="63"/>
      <c r="E35" s="63"/>
      <c r="F35" s="63"/>
      <c r="G35" s="76" t="str">
        <f t="shared" si="0"/>
        <v/>
      </c>
      <c r="H35" s="63"/>
      <c r="I35" s="63"/>
      <c r="J35" s="63"/>
      <c r="K35" s="76" t="str">
        <f t="shared" si="1"/>
        <v/>
      </c>
      <c r="L35" s="63"/>
      <c r="M35" s="63"/>
      <c r="N35" s="63"/>
      <c r="O35" s="63"/>
    </row>
    <row r="36" spans="1:15" x14ac:dyDescent="0.45">
      <c r="A36" s="63"/>
      <c r="B36" s="63"/>
      <c r="C36" s="63"/>
      <c r="D36" s="63"/>
      <c r="E36" s="63"/>
      <c r="F36" s="63"/>
      <c r="G36" s="76" t="str">
        <f t="shared" si="0"/>
        <v/>
      </c>
      <c r="H36" s="63"/>
      <c r="I36" s="63"/>
      <c r="J36" s="63"/>
      <c r="K36" s="76" t="str">
        <f t="shared" si="1"/>
        <v/>
      </c>
      <c r="L36" s="63"/>
      <c r="M36" s="63"/>
      <c r="N36" s="63"/>
      <c r="O36" s="63"/>
    </row>
    <row r="37" spans="1:15" x14ac:dyDescent="0.45">
      <c r="A37" s="63"/>
      <c r="B37" s="63"/>
      <c r="C37" s="63"/>
      <c r="D37" s="63"/>
      <c r="E37" s="63"/>
      <c r="F37" s="63"/>
      <c r="G37" s="76" t="str">
        <f t="shared" si="0"/>
        <v/>
      </c>
      <c r="H37" s="63"/>
      <c r="I37" s="63"/>
      <c r="J37" s="63"/>
      <c r="K37" s="76" t="str">
        <f t="shared" si="1"/>
        <v/>
      </c>
      <c r="L37" s="63"/>
      <c r="M37" s="63"/>
      <c r="N37" s="63"/>
      <c r="O37" s="63"/>
    </row>
    <row r="38" spans="1:15" x14ac:dyDescent="0.45">
      <c r="A38" s="63"/>
      <c r="B38" s="63"/>
      <c r="C38" s="63"/>
      <c r="D38" s="63"/>
      <c r="E38" s="63"/>
      <c r="F38" s="63"/>
      <c r="G38" s="76" t="str">
        <f t="shared" ref="G38:G65" si="2">IF(OR($E38="",$F38=""),"",VALUE(LEFT($E38,1))*VALUE(LEFT($F38,1)))</f>
        <v/>
      </c>
      <c r="H38" s="63"/>
      <c r="I38" s="63"/>
      <c r="J38" s="63"/>
      <c r="K38" s="76" t="str">
        <f t="shared" ref="K38:K65" si="3">IF(OR($I38="",$J38=""),"",VALUE(LEFT($I38,1))*VALUE(LEFT($J38,1)))</f>
        <v/>
      </c>
      <c r="L38" s="63"/>
      <c r="M38" s="63"/>
      <c r="N38" s="63"/>
      <c r="O38" s="63"/>
    </row>
    <row r="39" spans="1:15" x14ac:dyDescent="0.45">
      <c r="A39" s="63"/>
      <c r="B39" s="63"/>
      <c r="C39" s="63"/>
      <c r="D39" s="63"/>
      <c r="E39" s="63"/>
      <c r="F39" s="63"/>
      <c r="G39" s="76" t="str">
        <f t="shared" si="2"/>
        <v/>
      </c>
      <c r="H39" s="63"/>
      <c r="I39" s="63"/>
      <c r="J39" s="63"/>
      <c r="K39" s="76" t="str">
        <f t="shared" si="3"/>
        <v/>
      </c>
      <c r="L39" s="63"/>
      <c r="M39" s="63"/>
      <c r="N39" s="63"/>
      <c r="O39" s="63"/>
    </row>
    <row r="40" spans="1:15" x14ac:dyDescent="0.45">
      <c r="A40" s="63"/>
      <c r="B40" s="63"/>
      <c r="C40" s="63"/>
      <c r="D40" s="63"/>
      <c r="E40" s="63"/>
      <c r="F40" s="63"/>
      <c r="G40" s="76" t="str">
        <f t="shared" si="2"/>
        <v/>
      </c>
      <c r="H40" s="63"/>
      <c r="I40" s="63"/>
      <c r="J40" s="63"/>
      <c r="K40" s="76" t="str">
        <f t="shared" si="3"/>
        <v/>
      </c>
      <c r="L40" s="63"/>
      <c r="M40" s="63"/>
      <c r="N40" s="63"/>
      <c r="O40" s="63"/>
    </row>
    <row r="41" spans="1:15" x14ac:dyDescent="0.45">
      <c r="A41" s="63"/>
      <c r="B41" s="63"/>
      <c r="C41" s="63"/>
      <c r="D41" s="63"/>
      <c r="E41" s="63"/>
      <c r="F41" s="63"/>
      <c r="G41" s="76" t="str">
        <f t="shared" si="2"/>
        <v/>
      </c>
      <c r="H41" s="63"/>
      <c r="I41" s="63"/>
      <c r="J41" s="63"/>
      <c r="K41" s="76" t="str">
        <f t="shared" si="3"/>
        <v/>
      </c>
      <c r="L41" s="63"/>
      <c r="M41" s="63"/>
      <c r="N41" s="63"/>
      <c r="O41" s="63"/>
    </row>
    <row r="42" spans="1:15" x14ac:dyDescent="0.45">
      <c r="A42" s="63"/>
      <c r="B42" s="63"/>
      <c r="C42" s="63"/>
      <c r="D42" s="63"/>
      <c r="E42" s="63"/>
      <c r="F42" s="63"/>
      <c r="G42" s="76" t="str">
        <f t="shared" si="2"/>
        <v/>
      </c>
      <c r="H42" s="63"/>
      <c r="I42" s="63"/>
      <c r="J42" s="63"/>
      <c r="K42" s="76" t="str">
        <f t="shared" si="3"/>
        <v/>
      </c>
      <c r="L42" s="63"/>
      <c r="M42" s="63"/>
      <c r="N42" s="63"/>
      <c r="O42" s="63"/>
    </row>
    <row r="43" spans="1:15" x14ac:dyDescent="0.45">
      <c r="A43" s="63"/>
      <c r="B43" s="63"/>
      <c r="C43" s="63"/>
      <c r="D43" s="63"/>
      <c r="E43" s="63"/>
      <c r="F43" s="63"/>
      <c r="G43" s="76" t="str">
        <f t="shared" si="2"/>
        <v/>
      </c>
      <c r="H43" s="63"/>
      <c r="I43" s="63"/>
      <c r="J43" s="63"/>
      <c r="K43" s="76" t="str">
        <f t="shared" si="3"/>
        <v/>
      </c>
      <c r="L43" s="63"/>
      <c r="M43" s="63"/>
      <c r="N43" s="63"/>
      <c r="O43" s="63"/>
    </row>
    <row r="44" spans="1:15" x14ac:dyDescent="0.45">
      <c r="A44" s="63"/>
      <c r="B44" s="63"/>
      <c r="C44" s="63"/>
      <c r="D44" s="63"/>
      <c r="E44" s="63"/>
      <c r="F44" s="63"/>
      <c r="G44" s="76" t="str">
        <f t="shared" si="2"/>
        <v/>
      </c>
      <c r="H44" s="63"/>
      <c r="I44" s="63"/>
      <c r="J44" s="63"/>
      <c r="K44" s="76" t="str">
        <f t="shared" si="3"/>
        <v/>
      </c>
      <c r="L44" s="63"/>
      <c r="M44" s="63"/>
      <c r="N44" s="63"/>
      <c r="O44" s="63"/>
    </row>
    <row r="45" spans="1:15" x14ac:dyDescent="0.45">
      <c r="A45" s="63"/>
      <c r="B45" s="63"/>
      <c r="C45" s="63"/>
      <c r="D45" s="63"/>
      <c r="E45" s="63"/>
      <c r="F45" s="63"/>
      <c r="G45" s="76" t="str">
        <f t="shared" si="2"/>
        <v/>
      </c>
      <c r="H45" s="63"/>
      <c r="I45" s="63"/>
      <c r="J45" s="63"/>
      <c r="K45" s="76" t="str">
        <f t="shared" si="3"/>
        <v/>
      </c>
      <c r="L45" s="63"/>
      <c r="M45" s="63"/>
      <c r="N45" s="63"/>
      <c r="O45" s="63"/>
    </row>
    <row r="46" spans="1:15" x14ac:dyDescent="0.45">
      <c r="A46" s="63"/>
      <c r="B46" s="63"/>
      <c r="C46" s="63"/>
      <c r="D46" s="63"/>
      <c r="E46" s="63"/>
      <c r="F46" s="63"/>
      <c r="G46" s="76" t="str">
        <f t="shared" si="2"/>
        <v/>
      </c>
      <c r="H46" s="63"/>
      <c r="I46" s="63"/>
      <c r="J46" s="63"/>
      <c r="K46" s="76" t="str">
        <f t="shared" si="3"/>
        <v/>
      </c>
      <c r="L46" s="63"/>
      <c r="M46" s="63"/>
      <c r="N46" s="63"/>
      <c r="O46" s="63"/>
    </row>
    <row r="47" spans="1:15" x14ac:dyDescent="0.45">
      <c r="A47" s="63"/>
      <c r="B47" s="63"/>
      <c r="C47" s="63"/>
      <c r="D47" s="63"/>
      <c r="E47" s="63"/>
      <c r="F47" s="63"/>
      <c r="G47" s="76" t="str">
        <f t="shared" si="2"/>
        <v/>
      </c>
      <c r="H47" s="63"/>
      <c r="I47" s="63"/>
      <c r="J47" s="63"/>
      <c r="K47" s="76" t="str">
        <f t="shared" si="3"/>
        <v/>
      </c>
      <c r="L47" s="63"/>
      <c r="M47" s="63"/>
      <c r="N47" s="63"/>
      <c r="O47" s="63"/>
    </row>
    <row r="48" spans="1:15" x14ac:dyDescent="0.45">
      <c r="A48" s="63"/>
      <c r="B48" s="63"/>
      <c r="C48" s="63"/>
      <c r="D48" s="63"/>
      <c r="E48" s="63"/>
      <c r="F48" s="63"/>
      <c r="G48" s="76" t="str">
        <f t="shared" si="2"/>
        <v/>
      </c>
      <c r="H48" s="63"/>
      <c r="I48" s="63"/>
      <c r="J48" s="63"/>
      <c r="K48" s="76" t="str">
        <f t="shared" si="3"/>
        <v/>
      </c>
      <c r="L48" s="63"/>
      <c r="M48" s="63"/>
      <c r="N48" s="63"/>
      <c r="O48" s="63"/>
    </row>
    <row r="49" spans="1:15" x14ac:dyDescent="0.45">
      <c r="A49" s="63"/>
      <c r="B49" s="63"/>
      <c r="C49" s="63"/>
      <c r="D49" s="63"/>
      <c r="E49" s="63"/>
      <c r="F49" s="63"/>
      <c r="G49" s="76" t="str">
        <f t="shared" si="2"/>
        <v/>
      </c>
      <c r="H49" s="63"/>
      <c r="I49" s="63"/>
      <c r="J49" s="63"/>
      <c r="K49" s="76" t="str">
        <f t="shared" si="3"/>
        <v/>
      </c>
      <c r="L49" s="63"/>
      <c r="M49" s="63"/>
      <c r="N49" s="63"/>
      <c r="O49" s="63"/>
    </row>
    <row r="50" spans="1:15" x14ac:dyDescent="0.45">
      <c r="A50" s="63"/>
      <c r="B50" s="63"/>
      <c r="C50" s="63"/>
      <c r="D50" s="63"/>
      <c r="E50" s="63"/>
      <c r="F50" s="63"/>
      <c r="G50" s="76" t="str">
        <f t="shared" si="2"/>
        <v/>
      </c>
      <c r="H50" s="63"/>
      <c r="I50" s="63"/>
      <c r="J50" s="63"/>
      <c r="K50" s="76" t="str">
        <f t="shared" si="3"/>
        <v/>
      </c>
      <c r="L50" s="63"/>
      <c r="M50" s="63"/>
      <c r="N50" s="63"/>
      <c r="O50" s="63"/>
    </row>
    <row r="51" spans="1:15" x14ac:dyDescent="0.45">
      <c r="A51" s="63"/>
      <c r="B51" s="63"/>
      <c r="C51" s="63"/>
      <c r="D51" s="63"/>
      <c r="E51" s="63"/>
      <c r="F51" s="63"/>
      <c r="G51" s="76" t="str">
        <f t="shared" si="2"/>
        <v/>
      </c>
      <c r="H51" s="63"/>
      <c r="I51" s="63"/>
      <c r="J51" s="63"/>
      <c r="K51" s="76" t="str">
        <f t="shared" si="3"/>
        <v/>
      </c>
      <c r="L51" s="63"/>
      <c r="M51" s="63"/>
      <c r="N51" s="63"/>
      <c r="O51" s="63"/>
    </row>
    <row r="52" spans="1:15" x14ac:dyDescent="0.45">
      <c r="A52" s="63"/>
      <c r="B52" s="63"/>
      <c r="C52" s="63"/>
      <c r="D52" s="63"/>
      <c r="E52" s="63"/>
      <c r="F52" s="63"/>
      <c r="G52" s="76" t="str">
        <f t="shared" si="2"/>
        <v/>
      </c>
      <c r="H52" s="63"/>
      <c r="I52" s="63"/>
      <c r="J52" s="63"/>
      <c r="K52" s="76" t="str">
        <f t="shared" si="3"/>
        <v/>
      </c>
      <c r="L52" s="63"/>
      <c r="M52" s="63"/>
      <c r="N52" s="63"/>
      <c r="O52" s="63"/>
    </row>
    <row r="53" spans="1:15" x14ac:dyDescent="0.45">
      <c r="A53" s="63"/>
      <c r="B53" s="63"/>
      <c r="C53" s="63"/>
      <c r="D53" s="63"/>
      <c r="E53" s="63"/>
      <c r="F53" s="63"/>
      <c r="G53" s="76" t="str">
        <f t="shared" si="2"/>
        <v/>
      </c>
      <c r="H53" s="63"/>
      <c r="I53" s="63"/>
      <c r="J53" s="63"/>
      <c r="K53" s="76" t="str">
        <f t="shared" si="3"/>
        <v/>
      </c>
      <c r="L53" s="63"/>
      <c r="M53" s="63"/>
      <c r="N53" s="63"/>
      <c r="O53" s="63"/>
    </row>
    <row r="54" spans="1:15" x14ac:dyDescent="0.45">
      <c r="A54" s="63"/>
      <c r="B54" s="63"/>
      <c r="C54" s="63"/>
      <c r="D54" s="63"/>
      <c r="E54" s="63"/>
      <c r="F54" s="63"/>
      <c r="G54" s="76" t="str">
        <f t="shared" si="2"/>
        <v/>
      </c>
      <c r="H54" s="63"/>
      <c r="I54" s="63"/>
      <c r="J54" s="63"/>
      <c r="K54" s="76" t="str">
        <f t="shared" si="3"/>
        <v/>
      </c>
      <c r="L54" s="63"/>
      <c r="M54" s="63"/>
      <c r="N54" s="63"/>
      <c r="O54" s="63"/>
    </row>
    <row r="55" spans="1:15" x14ac:dyDescent="0.45">
      <c r="A55" s="63"/>
      <c r="B55" s="63"/>
      <c r="C55" s="63"/>
      <c r="D55" s="63"/>
      <c r="E55" s="63"/>
      <c r="F55" s="63"/>
      <c r="G55" s="76" t="str">
        <f t="shared" si="2"/>
        <v/>
      </c>
      <c r="H55" s="63"/>
      <c r="I55" s="63"/>
      <c r="J55" s="63"/>
      <c r="K55" s="76" t="str">
        <f t="shared" si="3"/>
        <v/>
      </c>
      <c r="L55" s="63"/>
      <c r="M55" s="63"/>
      <c r="N55" s="63"/>
      <c r="O55" s="63"/>
    </row>
    <row r="56" spans="1:15" x14ac:dyDescent="0.45">
      <c r="A56" s="63"/>
      <c r="B56" s="63"/>
      <c r="C56" s="63"/>
      <c r="D56" s="63"/>
      <c r="E56" s="63"/>
      <c r="F56" s="63"/>
      <c r="G56" s="76" t="str">
        <f t="shared" si="2"/>
        <v/>
      </c>
      <c r="H56" s="63"/>
      <c r="I56" s="63"/>
      <c r="J56" s="63"/>
      <c r="K56" s="76" t="str">
        <f t="shared" si="3"/>
        <v/>
      </c>
      <c r="L56" s="63"/>
      <c r="M56" s="63"/>
      <c r="N56" s="63"/>
      <c r="O56" s="63"/>
    </row>
    <row r="57" spans="1:15" x14ac:dyDescent="0.45">
      <c r="A57" s="63"/>
      <c r="B57" s="63"/>
      <c r="C57" s="63"/>
      <c r="D57" s="63"/>
      <c r="E57" s="63"/>
      <c r="F57" s="63"/>
      <c r="G57" s="76" t="str">
        <f t="shared" si="2"/>
        <v/>
      </c>
      <c r="H57" s="63"/>
      <c r="I57" s="63"/>
      <c r="J57" s="63"/>
      <c r="K57" s="76" t="str">
        <f t="shared" si="3"/>
        <v/>
      </c>
      <c r="L57" s="63"/>
      <c r="M57" s="63"/>
      <c r="N57" s="63"/>
      <c r="O57" s="63"/>
    </row>
    <row r="58" spans="1:15" x14ac:dyDescent="0.45">
      <c r="A58" s="63"/>
      <c r="B58" s="63"/>
      <c r="C58" s="63"/>
      <c r="D58" s="63"/>
      <c r="E58" s="63"/>
      <c r="F58" s="63"/>
      <c r="G58" s="76" t="str">
        <f t="shared" si="2"/>
        <v/>
      </c>
      <c r="H58" s="63"/>
      <c r="I58" s="63"/>
      <c r="J58" s="63"/>
      <c r="K58" s="76" t="str">
        <f t="shared" si="3"/>
        <v/>
      </c>
      <c r="L58" s="63"/>
      <c r="M58" s="63"/>
      <c r="N58" s="63"/>
      <c r="O58" s="63"/>
    </row>
    <row r="59" spans="1:15" x14ac:dyDescent="0.45">
      <c r="A59" s="63"/>
      <c r="B59" s="63"/>
      <c r="C59" s="63"/>
      <c r="D59" s="63"/>
      <c r="E59" s="63"/>
      <c r="F59" s="63"/>
      <c r="G59" s="76" t="str">
        <f t="shared" si="2"/>
        <v/>
      </c>
      <c r="H59" s="63"/>
      <c r="I59" s="63"/>
      <c r="J59" s="63"/>
      <c r="K59" s="76" t="str">
        <f t="shared" si="3"/>
        <v/>
      </c>
      <c r="L59" s="63"/>
      <c r="M59" s="63"/>
      <c r="N59" s="63"/>
      <c r="O59" s="63"/>
    </row>
    <row r="60" spans="1:15" x14ac:dyDescent="0.45">
      <c r="A60" s="63"/>
      <c r="B60" s="63"/>
      <c r="C60" s="63"/>
      <c r="D60" s="63"/>
      <c r="E60" s="63"/>
      <c r="F60" s="63"/>
      <c r="G60" s="76" t="str">
        <f t="shared" si="2"/>
        <v/>
      </c>
      <c r="H60" s="63"/>
      <c r="I60" s="63"/>
      <c r="J60" s="63"/>
      <c r="K60" s="76" t="str">
        <f t="shared" si="3"/>
        <v/>
      </c>
      <c r="L60" s="63"/>
      <c r="M60" s="63"/>
      <c r="N60" s="63"/>
      <c r="O60" s="63"/>
    </row>
    <row r="61" spans="1:15" x14ac:dyDescent="0.45">
      <c r="A61" s="63"/>
      <c r="B61" s="63"/>
      <c r="C61" s="63"/>
      <c r="D61" s="63"/>
      <c r="E61" s="63"/>
      <c r="F61" s="63"/>
      <c r="G61" s="76" t="str">
        <f t="shared" si="2"/>
        <v/>
      </c>
      <c r="H61" s="63"/>
      <c r="I61" s="63"/>
      <c r="J61" s="63"/>
      <c r="K61" s="76" t="str">
        <f t="shared" si="3"/>
        <v/>
      </c>
      <c r="L61" s="63"/>
      <c r="M61" s="63"/>
      <c r="N61" s="63"/>
      <c r="O61" s="63"/>
    </row>
    <row r="62" spans="1:15" x14ac:dyDescent="0.45">
      <c r="A62" s="63"/>
      <c r="B62" s="63"/>
      <c r="C62" s="63"/>
      <c r="D62" s="63"/>
      <c r="E62" s="63"/>
      <c r="F62" s="63"/>
      <c r="G62" s="76" t="str">
        <f t="shared" si="2"/>
        <v/>
      </c>
      <c r="H62" s="63"/>
      <c r="I62" s="63"/>
      <c r="J62" s="63"/>
      <c r="K62" s="76" t="str">
        <f t="shared" si="3"/>
        <v/>
      </c>
      <c r="L62" s="63"/>
      <c r="M62" s="63"/>
      <c r="N62" s="63"/>
      <c r="O62" s="63"/>
    </row>
    <row r="63" spans="1:15" x14ac:dyDescent="0.45">
      <c r="A63" s="63"/>
      <c r="B63" s="63"/>
      <c r="C63" s="63"/>
      <c r="D63" s="63"/>
      <c r="E63" s="63"/>
      <c r="F63" s="63"/>
      <c r="G63" s="76" t="str">
        <f t="shared" si="2"/>
        <v/>
      </c>
      <c r="H63" s="63"/>
      <c r="I63" s="63"/>
      <c r="J63" s="63"/>
      <c r="K63" s="76" t="str">
        <f t="shared" si="3"/>
        <v/>
      </c>
      <c r="L63" s="63"/>
      <c r="M63" s="63"/>
      <c r="N63" s="63"/>
      <c r="O63" s="63"/>
    </row>
    <row r="64" spans="1:15" x14ac:dyDescent="0.45">
      <c r="A64" s="63"/>
      <c r="B64" s="63"/>
      <c r="C64" s="63"/>
      <c r="D64" s="63"/>
      <c r="E64" s="63"/>
      <c r="F64" s="63"/>
      <c r="G64" s="76" t="str">
        <f t="shared" si="2"/>
        <v/>
      </c>
      <c r="H64" s="63"/>
      <c r="I64" s="63"/>
      <c r="J64" s="63"/>
      <c r="K64" s="76" t="str">
        <f t="shared" si="3"/>
        <v/>
      </c>
      <c r="L64" s="63"/>
      <c r="M64" s="63"/>
      <c r="N64" s="63"/>
      <c r="O64" s="63"/>
    </row>
    <row r="65" spans="1:15" x14ac:dyDescent="0.45">
      <c r="A65" s="63"/>
      <c r="B65" s="63"/>
      <c r="C65" s="63"/>
      <c r="D65" s="63"/>
      <c r="E65" s="63"/>
      <c r="F65" s="63"/>
      <c r="G65" s="76" t="str">
        <f t="shared" si="2"/>
        <v/>
      </c>
      <c r="H65" s="63"/>
      <c r="I65" s="63"/>
      <c r="J65" s="63"/>
      <c r="K65" s="76" t="str">
        <f t="shared" si="3"/>
        <v/>
      </c>
      <c r="L65" s="63"/>
      <c r="M65" s="63"/>
      <c r="N65" s="63"/>
      <c r="O65" s="63"/>
    </row>
  </sheetData>
  <autoFilter ref="A5:O65" xr:uid="{00000000-0009-0000-0000-00000C000000}"/>
  <mergeCells count="3">
    <mergeCell ref="A1:O1"/>
    <mergeCell ref="A2:O2"/>
    <mergeCell ref="A3:O3"/>
  </mergeCells>
  <conditionalFormatting sqref="G6:G65">
    <cfRule type="colorScale" priority="2">
      <colorScale>
        <cfvo type="num" val="1"/>
        <cfvo type="num" val="9"/>
        <cfvo type="num" val="25"/>
        <color rgb="FFE0F0E8"/>
        <color rgb="FFFFF3CD"/>
        <color rgb="FFF9DEDC"/>
      </colorScale>
    </cfRule>
  </conditionalFormatting>
  <conditionalFormatting sqref="K6:K65">
    <cfRule type="colorScale" priority="3">
      <colorScale>
        <cfvo type="num" val="1"/>
        <cfvo type="num" val="9"/>
        <cfvo type="num" val="25"/>
        <color rgb="FFE0F0E8"/>
        <color rgb="FFFFF3CD"/>
        <color rgb="FFF9DEDC"/>
      </colorScale>
    </cfRule>
  </conditionalFormatting>
  <dataValidations count="2">
    <dataValidation type="list" allowBlank="1" sqref="E6:F65 I6:J65" xr:uid="{00000000-0002-0000-0C00-000000000000}">
      <formula1>"1 - Low,2 - Moderate,3 - Significant,4 - High,5 - Severe"</formula1>
      <formula2>0</formula2>
    </dataValidation>
    <dataValidation type="list" allowBlank="1" sqref="L6:L65" xr:uid="{00000000-0002-0000-0C00-000001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E8641C"/>
    <pageSetUpPr fitToPage="1"/>
  </sheetPr>
  <dimension ref="A1:O45"/>
  <sheetViews>
    <sheetView showGridLines="0" zoomScaleNormal="100" workbookViewId="0">
      <pane ySplit="5" topLeftCell="A6" activePane="bottomLeft" state="frozen"/>
      <selection pane="bottomLeft"/>
    </sheetView>
  </sheetViews>
  <sheetFormatPr defaultColWidth="8.6640625" defaultRowHeight="14.25" x14ac:dyDescent="0.45"/>
  <cols>
    <col min="1" max="1" width="9" customWidth="1"/>
    <col min="2" max="2" width="22" customWidth="1"/>
    <col min="3" max="3" width="34" customWidth="1"/>
    <col min="4" max="4" width="24" customWidth="1"/>
    <col min="5" max="5" width="26" customWidth="1"/>
    <col min="6" max="6" width="32" customWidth="1"/>
    <col min="7" max="7" width="18" customWidth="1"/>
    <col min="8" max="8" width="32" customWidth="1"/>
    <col min="9" max="9" width="22" customWidth="1"/>
    <col min="10" max="10" width="28" customWidth="1"/>
    <col min="11" max="11" width="22" customWidth="1"/>
    <col min="12" max="12" width="18" customWidth="1"/>
    <col min="13" max="14" width="12" customWidth="1"/>
    <col min="15" max="15" width="16" customWidth="1"/>
  </cols>
  <sheetData>
    <row r="1" spans="1:15" ht="30" customHeight="1" x14ac:dyDescent="0.45">
      <c r="A1" s="122" t="s">
        <v>1383</v>
      </c>
      <c r="B1" s="122"/>
      <c r="C1" s="122"/>
      <c r="D1" s="122"/>
      <c r="E1" s="122"/>
      <c r="F1" s="122"/>
      <c r="G1" s="122"/>
      <c r="H1" s="122"/>
      <c r="I1" s="122"/>
      <c r="J1" s="122"/>
      <c r="K1" s="122"/>
      <c r="L1" s="122"/>
      <c r="M1" s="122"/>
      <c r="N1" s="122"/>
      <c r="O1" s="122"/>
    </row>
    <row r="2" spans="1:15" ht="18" customHeight="1" x14ac:dyDescent="0.45">
      <c r="A2" s="123" t="s">
        <v>1384</v>
      </c>
      <c r="B2" s="123"/>
      <c r="C2" s="123"/>
      <c r="D2" s="123"/>
      <c r="E2" s="123"/>
      <c r="F2" s="123"/>
      <c r="G2" s="123"/>
      <c r="H2" s="123"/>
      <c r="I2" s="123"/>
      <c r="J2" s="123"/>
      <c r="K2" s="123"/>
      <c r="L2" s="123"/>
      <c r="M2" s="123"/>
      <c r="N2" s="123"/>
      <c r="O2" s="123"/>
    </row>
    <row r="3" spans="1:15" ht="21.75" customHeight="1" x14ac:dyDescent="0.45">
      <c r="A3" s="124" t="s">
        <v>1385</v>
      </c>
      <c r="B3" s="124"/>
      <c r="C3" s="124"/>
      <c r="D3" s="124"/>
      <c r="E3" s="124"/>
      <c r="F3" s="124"/>
      <c r="G3" s="124"/>
      <c r="H3" s="124"/>
      <c r="I3" s="124"/>
      <c r="J3" s="124"/>
      <c r="K3" s="124"/>
      <c r="L3" s="124"/>
      <c r="M3" s="124"/>
      <c r="N3" s="124"/>
      <c r="O3" s="124"/>
    </row>
    <row r="5" spans="1:15" ht="31.5" customHeight="1" x14ac:dyDescent="0.45">
      <c r="A5" s="32" t="s">
        <v>1386</v>
      </c>
      <c r="B5" s="32" t="s">
        <v>1360</v>
      </c>
      <c r="C5" s="32" t="s">
        <v>1387</v>
      </c>
      <c r="D5" s="32" t="s">
        <v>1388</v>
      </c>
      <c r="E5" s="32" t="s">
        <v>1389</v>
      </c>
      <c r="F5" s="32" t="s">
        <v>1390</v>
      </c>
      <c r="G5" s="32" t="s">
        <v>1391</v>
      </c>
      <c r="H5" s="32" t="s">
        <v>1392</v>
      </c>
      <c r="I5" s="32" t="s">
        <v>1393</v>
      </c>
      <c r="J5" s="32" t="s">
        <v>1394</v>
      </c>
      <c r="K5" s="32" t="s">
        <v>1395</v>
      </c>
      <c r="L5" s="32" t="s">
        <v>1396</v>
      </c>
      <c r="M5" s="32" t="s">
        <v>1397</v>
      </c>
      <c r="N5" s="32" t="s">
        <v>1372</v>
      </c>
      <c r="O5" s="32" t="s">
        <v>1398</v>
      </c>
    </row>
    <row r="6" spans="1:15" ht="23.25" x14ac:dyDescent="0.45">
      <c r="A6" s="75" t="s">
        <v>1399</v>
      </c>
      <c r="B6" s="75" t="s">
        <v>1400</v>
      </c>
      <c r="C6" s="75" t="s">
        <v>1401</v>
      </c>
      <c r="D6" s="75" t="s">
        <v>1402</v>
      </c>
      <c r="E6" s="75" t="s">
        <v>1403</v>
      </c>
      <c r="F6" s="75" t="s">
        <v>1404</v>
      </c>
      <c r="G6" s="75" t="s">
        <v>1405</v>
      </c>
      <c r="H6" s="75" t="s">
        <v>1406</v>
      </c>
      <c r="I6" s="75" t="s">
        <v>1407</v>
      </c>
      <c r="J6" s="75" t="s">
        <v>1408</v>
      </c>
      <c r="K6" s="75" t="s">
        <v>1409</v>
      </c>
      <c r="L6" s="75" t="s">
        <v>365</v>
      </c>
      <c r="M6" s="63"/>
      <c r="N6" s="63"/>
      <c r="O6" s="75" t="s">
        <v>1410</v>
      </c>
    </row>
    <row r="7" spans="1:15" x14ac:dyDescent="0.45">
      <c r="A7" s="63"/>
      <c r="B7" s="63"/>
      <c r="C7" s="63"/>
      <c r="D7" s="63"/>
      <c r="E7" s="63"/>
      <c r="F7" s="63"/>
      <c r="G7" s="63"/>
      <c r="H7" s="63"/>
      <c r="I7" s="63"/>
      <c r="J7" s="63"/>
      <c r="K7" s="63"/>
      <c r="L7" s="63"/>
      <c r="M7" s="63"/>
      <c r="N7" s="63"/>
      <c r="O7" s="63"/>
    </row>
    <row r="8" spans="1:15" x14ac:dyDescent="0.45">
      <c r="A8" s="63"/>
      <c r="B8" s="63"/>
      <c r="C8" s="63"/>
      <c r="D8" s="63"/>
      <c r="E8" s="63"/>
      <c r="F8" s="63"/>
      <c r="G8" s="63"/>
      <c r="H8" s="63"/>
      <c r="I8" s="63"/>
      <c r="J8" s="63"/>
      <c r="K8" s="63"/>
      <c r="L8" s="63"/>
      <c r="M8" s="63"/>
      <c r="N8" s="63"/>
      <c r="O8" s="63"/>
    </row>
    <row r="9" spans="1:15" x14ac:dyDescent="0.45">
      <c r="A9" s="63"/>
      <c r="B9" s="63"/>
      <c r="C9" s="63"/>
      <c r="D9" s="63"/>
      <c r="E9" s="63"/>
      <c r="F9" s="63"/>
      <c r="G9" s="63"/>
      <c r="H9" s="63"/>
      <c r="I9" s="63"/>
      <c r="J9" s="63"/>
      <c r="K9" s="63"/>
      <c r="L9" s="63"/>
      <c r="M9" s="63"/>
      <c r="N9" s="63"/>
      <c r="O9" s="63"/>
    </row>
    <row r="10" spans="1:15" x14ac:dyDescent="0.45">
      <c r="A10" s="63"/>
      <c r="B10" s="63"/>
      <c r="C10" s="63"/>
      <c r="D10" s="63"/>
      <c r="E10" s="63"/>
      <c r="F10" s="63"/>
      <c r="G10" s="63"/>
      <c r="H10" s="63"/>
      <c r="I10" s="63"/>
      <c r="J10" s="63"/>
      <c r="K10" s="63"/>
      <c r="L10" s="63"/>
      <c r="M10" s="63"/>
      <c r="N10" s="63"/>
      <c r="O10" s="63"/>
    </row>
    <row r="11" spans="1:15" x14ac:dyDescent="0.45">
      <c r="A11" s="63"/>
      <c r="B11" s="63"/>
      <c r="C11" s="63"/>
      <c r="D11" s="63"/>
      <c r="E11" s="63"/>
      <c r="F11" s="63"/>
      <c r="G11" s="63"/>
      <c r="H11" s="63"/>
      <c r="I11" s="63"/>
      <c r="J11" s="63"/>
      <c r="K11" s="63"/>
      <c r="L11" s="63"/>
      <c r="M11" s="63"/>
      <c r="N11" s="63"/>
      <c r="O11" s="63"/>
    </row>
    <row r="12" spans="1:15" x14ac:dyDescent="0.45">
      <c r="A12" s="63"/>
      <c r="B12" s="63"/>
      <c r="C12" s="63"/>
      <c r="D12" s="63"/>
      <c r="E12" s="63"/>
      <c r="F12" s="63"/>
      <c r="G12" s="63"/>
      <c r="H12" s="63"/>
      <c r="I12" s="63"/>
      <c r="J12" s="63"/>
      <c r="K12" s="63"/>
      <c r="L12" s="63"/>
      <c r="M12" s="63"/>
      <c r="N12" s="63"/>
      <c r="O12" s="63"/>
    </row>
    <row r="13" spans="1:15" x14ac:dyDescent="0.45">
      <c r="A13" s="63"/>
      <c r="B13" s="63"/>
      <c r="C13" s="63"/>
      <c r="D13" s="63"/>
      <c r="E13" s="63"/>
      <c r="F13" s="63"/>
      <c r="G13" s="63"/>
      <c r="H13" s="63"/>
      <c r="I13" s="63"/>
      <c r="J13" s="63"/>
      <c r="K13" s="63"/>
      <c r="L13" s="63"/>
      <c r="M13" s="63"/>
      <c r="N13" s="63"/>
      <c r="O13" s="63"/>
    </row>
    <row r="14" spans="1:15" x14ac:dyDescent="0.45">
      <c r="A14" s="63"/>
      <c r="B14" s="63"/>
      <c r="C14" s="63"/>
      <c r="D14" s="63"/>
      <c r="E14" s="63"/>
      <c r="F14" s="63"/>
      <c r="G14" s="63"/>
      <c r="H14" s="63"/>
      <c r="I14" s="63"/>
      <c r="J14" s="63"/>
      <c r="K14" s="63"/>
      <c r="L14" s="63"/>
      <c r="M14" s="63"/>
      <c r="N14" s="63"/>
      <c r="O14" s="63"/>
    </row>
    <row r="15" spans="1:15" x14ac:dyDescent="0.45">
      <c r="A15" s="63"/>
      <c r="B15" s="63"/>
      <c r="C15" s="63"/>
      <c r="D15" s="63"/>
      <c r="E15" s="63"/>
      <c r="F15" s="63"/>
      <c r="G15" s="63"/>
      <c r="H15" s="63"/>
      <c r="I15" s="63"/>
      <c r="J15" s="63"/>
      <c r="K15" s="63"/>
      <c r="L15" s="63"/>
      <c r="M15" s="63"/>
      <c r="N15" s="63"/>
      <c r="O15" s="63"/>
    </row>
    <row r="16" spans="1:15" x14ac:dyDescent="0.45">
      <c r="A16" s="63"/>
      <c r="B16" s="63"/>
      <c r="C16" s="63"/>
      <c r="D16" s="63"/>
      <c r="E16" s="63"/>
      <c r="F16" s="63"/>
      <c r="G16" s="63"/>
      <c r="H16" s="63"/>
      <c r="I16" s="63"/>
      <c r="J16" s="63"/>
      <c r="K16" s="63"/>
      <c r="L16" s="63"/>
      <c r="M16" s="63"/>
      <c r="N16" s="63"/>
      <c r="O16" s="63"/>
    </row>
    <row r="17" spans="1:15" x14ac:dyDescent="0.45">
      <c r="A17" s="63"/>
      <c r="B17" s="63"/>
      <c r="C17" s="63"/>
      <c r="D17" s="63"/>
      <c r="E17" s="63"/>
      <c r="F17" s="63"/>
      <c r="G17" s="63"/>
      <c r="H17" s="63"/>
      <c r="I17" s="63"/>
      <c r="J17" s="63"/>
      <c r="K17" s="63"/>
      <c r="L17" s="63"/>
      <c r="M17" s="63"/>
      <c r="N17" s="63"/>
      <c r="O17" s="63"/>
    </row>
    <row r="18" spans="1:15" x14ac:dyDescent="0.45">
      <c r="A18" s="63"/>
      <c r="B18" s="63"/>
      <c r="C18" s="63"/>
      <c r="D18" s="63"/>
      <c r="E18" s="63"/>
      <c r="F18" s="63"/>
      <c r="G18" s="63"/>
      <c r="H18" s="63"/>
      <c r="I18" s="63"/>
      <c r="J18" s="63"/>
      <c r="K18" s="63"/>
      <c r="L18" s="63"/>
      <c r="M18" s="63"/>
      <c r="N18" s="63"/>
      <c r="O18" s="63"/>
    </row>
    <row r="19" spans="1:15" x14ac:dyDescent="0.45">
      <c r="A19" s="63"/>
      <c r="B19" s="63"/>
      <c r="C19" s="63"/>
      <c r="D19" s="63"/>
      <c r="E19" s="63"/>
      <c r="F19" s="63"/>
      <c r="G19" s="63"/>
      <c r="H19" s="63"/>
      <c r="I19" s="63"/>
      <c r="J19" s="63"/>
      <c r="K19" s="63"/>
      <c r="L19" s="63"/>
      <c r="M19" s="63"/>
      <c r="N19" s="63"/>
      <c r="O19" s="63"/>
    </row>
    <row r="20" spans="1:15" x14ac:dyDescent="0.45">
      <c r="A20" s="63"/>
      <c r="B20" s="63"/>
      <c r="C20" s="63"/>
      <c r="D20" s="63"/>
      <c r="E20" s="63"/>
      <c r="F20" s="63"/>
      <c r="G20" s="63"/>
      <c r="H20" s="63"/>
      <c r="I20" s="63"/>
      <c r="J20" s="63"/>
      <c r="K20" s="63"/>
      <c r="L20" s="63"/>
      <c r="M20" s="63"/>
      <c r="N20" s="63"/>
      <c r="O20" s="63"/>
    </row>
    <row r="21" spans="1:15" x14ac:dyDescent="0.45">
      <c r="A21" s="63"/>
      <c r="B21" s="63"/>
      <c r="C21" s="63"/>
      <c r="D21" s="63"/>
      <c r="E21" s="63"/>
      <c r="F21" s="63"/>
      <c r="G21" s="63"/>
      <c r="H21" s="63"/>
      <c r="I21" s="63"/>
      <c r="J21" s="63"/>
      <c r="K21" s="63"/>
      <c r="L21" s="63"/>
      <c r="M21" s="63"/>
      <c r="N21" s="63"/>
      <c r="O21" s="63"/>
    </row>
    <row r="22" spans="1:15" x14ac:dyDescent="0.45">
      <c r="A22" s="63"/>
      <c r="B22" s="63"/>
      <c r="C22" s="63"/>
      <c r="D22" s="63"/>
      <c r="E22" s="63"/>
      <c r="F22" s="63"/>
      <c r="G22" s="63"/>
      <c r="H22" s="63"/>
      <c r="I22" s="63"/>
      <c r="J22" s="63"/>
      <c r="K22" s="63"/>
      <c r="L22" s="63"/>
      <c r="M22" s="63"/>
      <c r="N22" s="63"/>
      <c r="O22" s="63"/>
    </row>
    <row r="23" spans="1:15" x14ac:dyDescent="0.45">
      <c r="A23" s="63"/>
      <c r="B23" s="63"/>
      <c r="C23" s="63"/>
      <c r="D23" s="63"/>
      <c r="E23" s="63"/>
      <c r="F23" s="63"/>
      <c r="G23" s="63"/>
      <c r="H23" s="63"/>
      <c r="I23" s="63"/>
      <c r="J23" s="63"/>
      <c r="K23" s="63"/>
      <c r="L23" s="63"/>
      <c r="M23" s="63"/>
      <c r="N23" s="63"/>
      <c r="O23" s="63"/>
    </row>
    <row r="24" spans="1:15" x14ac:dyDescent="0.45">
      <c r="A24" s="63"/>
      <c r="B24" s="63"/>
      <c r="C24" s="63"/>
      <c r="D24" s="63"/>
      <c r="E24" s="63"/>
      <c r="F24" s="63"/>
      <c r="G24" s="63"/>
      <c r="H24" s="63"/>
      <c r="I24" s="63"/>
      <c r="J24" s="63"/>
      <c r="K24" s="63"/>
      <c r="L24" s="63"/>
      <c r="M24" s="63"/>
      <c r="N24" s="63"/>
      <c r="O24" s="63"/>
    </row>
    <row r="25" spans="1:15" x14ac:dyDescent="0.45">
      <c r="A25" s="63"/>
      <c r="B25" s="63"/>
      <c r="C25" s="63"/>
      <c r="D25" s="63"/>
      <c r="E25" s="63"/>
      <c r="F25" s="63"/>
      <c r="G25" s="63"/>
      <c r="H25" s="63"/>
      <c r="I25" s="63"/>
      <c r="J25" s="63"/>
      <c r="K25" s="63"/>
      <c r="L25" s="63"/>
      <c r="M25" s="63"/>
      <c r="N25" s="63"/>
      <c r="O25" s="63"/>
    </row>
    <row r="26" spans="1:15" x14ac:dyDescent="0.45">
      <c r="A26" s="63"/>
      <c r="B26" s="63"/>
      <c r="C26" s="63"/>
      <c r="D26" s="63"/>
      <c r="E26" s="63"/>
      <c r="F26" s="63"/>
      <c r="G26" s="63"/>
      <c r="H26" s="63"/>
      <c r="I26" s="63"/>
      <c r="J26" s="63"/>
      <c r="K26" s="63"/>
      <c r="L26" s="63"/>
      <c r="M26" s="63"/>
      <c r="N26" s="63"/>
      <c r="O26" s="63"/>
    </row>
    <row r="27" spans="1:15" x14ac:dyDescent="0.45">
      <c r="A27" s="63"/>
      <c r="B27" s="63"/>
      <c r="C27" s="63"/>
      <c r="D27" s="63"/>
      <c r="E27" s="63"/>
      <c r="F27" s="63"/>
      <c r="G27" s="63"/>
      <c r="H27" s="63"/>
      <c r="I27" s="63"/>
      <c r="J27" s="63"/>
      <c r="K27" s="63"/>
      <c r="L27" s="63"/>
      <c r="M27" s="63"/>
      <c r="N27" s="63"/>
      <c r="O27" s="63"/>
    </row>
    <row r="28" spans="1:15" x14ac:dyDescent="0.45">
      <c r="A28" s="63"/>
      <c r="B28" s="63"/>
      <c r="C28" s="63"/>
      <c r="D28" s="63"/>
      <c r="E28" s="63"/>
      <c r="F28" s="63"/>
      <c r="G28" s="63"/>
      <c r="H28" s="63"/>
      <c r="I28" s="63"/>
      <c r="J28" s="63"/>
      <c r="K28" s="63"/>
      <c r="L28" s="63"/>
      <c r="M28" s="63"/>
      <c r="N28" s="63"/>
      <c r="O28" s="63"/>
    </row>
    <row r="29" spans="1:15" x14ac:dyDescent="0.45">
      <c r="A29" s="63"/>
      <c r="B29" s="63"/>
      <c r="C29" s="63"/>
      <c r="D29" s="63"/>
      <c r="E29" s="63"/>
      <c r="F29" s="63"/>
      <c r="G29" s="63"/>
      <c r="H29" s="63"/>
      <c r="I29" s="63"/>
      <c r="J29" s="63"/>
      <c r="K29" s="63"/>
      <c r="L29" s="63"/>
      <c r="M29" s="63"/>
      <c r="N29" s="63"/>
      <c r="O29" s="63"/>
    </row>
    <row r="30" spans="1:15" x14ac:dyDescent="0.45">
      <c r="A30" s="63"/>
      <c r="B30" s="63"/>
      <c r="C30" s="63"/>
      <c r="D30" s="63"/>
      <c r="E30" s="63"/>
      <c r="F30" s="63"/>
      <c r="G30" s="63"/>
      <c r="H30" s="63"/>
      <c r="I30" s="63"/>
      <c r="J30" s="63"/>
      <c r="K30" s="63"/>
      <c r="L30" s="63"/>
      <c r="M30" s="63"/>
      <c r="N30" s="63"/>
      <c r="O30" s="63"/>
    </row>
    <row r="31" spans="1:15" x14ac:dyDescent="0.45">
      <c r="A31" s="63"/>
      <c r="B31" s="63"/>
      <c r="C31" s="63"/>
      <c r="D31" s="63"/>
      <c r="E31" s="63"/>
      <c r="F31" s="63"/>
      <c r="G31" s="63"/>
      <c r="H31" s="63"/>
      <c r="I31" s="63"/>
      <c r="J31" s="63"/>
      <c r="K31" s="63"/>
      <c r="L31" s="63"/>
      <c r="M31" s="63"/>
      <c r="N31" s="63"/>
      <c r="O31" s="63"/>
    </row>
    <row r="32" spans="1:15" x14ac:dyDescent="0.45">
      <c r="A32" s="63"/>
      <c r="B32" s="63"/>
      <c r="C32" s="63"/>
      <c r="D32" s="63"/>
      <c r="E32" s="63"/>
      <c r="F32" s="63"/>
      <c r="G32" s="63"/>
      <c r="H32" s="63"/>
      <c r="I32" s="63"/>
      <c r="J32" s="63"/>
      <c r="K32" s="63"/>
      <c r="L32" s="63"/>
      <c r="M32" s="63"/>
      <c r="N32" s="63"/>
      <c r="O32" s="63"/>
    </row>
    <row r="33" spans="1:15" x14ac:dyDescent="0.45">
      <c r="A33" s="63"/>
      <c r="B33" s="63"/>
      <c r="C33" s="63"/>
      <c r="D33" s="63"/>
      <c r="E33" s="63"/>
      <c r="F33" s="63"/>
      <c r="G33" s="63"/>
      <c r="H33" s="63"/>
      <c r="I33" s="63"/>
      <c r="J33" s="63"/>
      <c r="K33" s="63"/>
      <c r="L33" s="63"/>
      <c r="M33" s="63"/>
      <c r="N33" s="63"/>
      <c r="O33" s="63"/>
    </row>
    <row r="34" spans="1:15" x14ac:dyDescent="0.45">
      <c r="A34" s="63"/>
      <c r="B34" s="63"/>
      <c r="C34" s="63"/>
      <c r="D34" s="63"/>
      <c r="E34" s="63"/>
      <c r="F34" s="63"/>
      <c r="G34" s="63"/>
      <c r="H34" s="63"/>
      <c r="I34" s="63"/>
      <c r="J34" s="63"/>
      <c r="K34" s="63"/>
      <c r="L34" s="63"/>
      <c r="M34" s="63"/>
      <c r="N34" s="63"/>
      <c r="O34" s="63"/>
    </row>
    <row r="35" spans="1:15" x14ac:dyDescent="0.45">
      <c r="A35" s="63"/>
      <c r="B35" s="63"/>
      <c r="C35" s="63"/>
      <c r="D35" s="63"/>
      <c r="E35" s="63"/>
      <c r="F35" s="63"/>
      <c r="G35" s="63"/>
      <c r="H35" s="63"/>
      <c r="I35" s="63"/>
      <c r="J35" s="63"/>
      <c r="K35" s="63"/>
      <c r="L35" s="63"/>
      <c r="M35" s="63"/>
      <c r="N35" s="63"/>
      <c r="O35" s="63"/>
    </row>
    <row r="36" spans="1:15" x14ac:dyDescent="0.45">
      <c r="A36" s="63"/>
      <c r="B36" s="63"/>
      <c r="C36" s="63"/>
      <c r="D36" s="63"/>
      <c r="E36" s="63"/>
      <c r="F36" s="63"/>
      <c r="G36" s="63"/>
      <c r="H36" s="63"/>
      <c r="I36" s="63"/>
      <c r="J36" s="63"/>
      <c r="K36" s="63"/>
      <c r="L36" s="63"/>
      <c r="M36" s="63"/>
      <c r="N36" s="63"/>
      <c r="O36" s="63"/>
    </row>
    <row r="37" spans="1:15" x14ac:dyDescent="0.45">
      <c r="A37" s="63"/>
      <c r="B37" s="63"/>
      <c r="C37" s="63"/>
      <c r="D37" s="63"/>
      <c r="E37" s="63"/>
      <c r="F37" s="63"/>
      <c r="G37" s="63"/>
      <c r="H37" s="63"/>
      <c r="I37" s="63"/>
      <c r="J37" s="63"/>
      <c r="K37" s="63"/>
      <c r="L37" s="63"/>
      <c r="M37" s="63"/>
      <c r="N37" s="63"/>
      <c r="O37" s="63"/>
    </row>
    <row r="38" spans="1:15" x14ac:dyDescent="0.45">
      <c r="A38" s="63"/>
      <c r="B38" s="63"/>
      <c r="C38" s="63"/>
      <c r="D38" s="63"/>
      <c r="E38" s="63"/>
      <c r="F38" s="63"/>
      <c r="G38" s="63"/>
      <c r="H38" s="63"/>
      <c r="I38" s="63"/>
      <c r="J38" s="63"/>
      <c r="K38" s="63"/>
      <c r="L38" s="63"/>
      <c r="M38" s="63"/>
      <c r="N38" s="63"/>
      <c r="O38" s="63"/>
    </row>
    <row r="39" spans="1:15" x14ac:dyDescent="0.45">
      <c r="A39" s="63"/>
      <c r="B39" s="63"/>
      <c r="C39" s="63"/>
      <c r="D39" s="63"/>
      <c r="E39" s="63"/>
      <c r="F39" s="63"/>
      <c r="G39" s="63"/>
      <c r="H39" s="63"/>
      <c r="I39" s="63"/>
      <c r="J39" s="63"/>
      <c r="K39" s="63"/>
      <c r="L39" s="63"/>
      <c r="M39" s="63"/>
      <c r="N39" s="63"/>
      <c r="O39" s="63"/>
    </row>
    <row r="40" spans="1:15" x14ac:dyDescent="0.45">
      <c r="A40" s="63"/>
      <c r="B40" s="63"/>
      <c r="C40" s="63"/>
      <c r="D40" s="63"/>
      <c r="E40" s="63"/>
      <c r="F40" s="63"/>
      <c r="G40" s="63"/>
      <c r="H40" s="63"/>
      <c r="I40" s="63"/>
      <c r="J40" s="63"/>
      <c r="K40" s="63"/>
      <c r="L40" s="63"/>
      <c r="M40" s="63"/>
      <c r="N40" s="63"/>
      <c r="O40" s="63"/>
    </row>
    <row r="41" spans="1:15" x14ac:dyDescent="0.45">
      <c r="A41" s="63"/>
      <c r="B41" s="63"/>
      <c r="C41" s="63"/>
      <c r="D41" s="63"/>
      <c r="E41" s="63"/>
      <c r="F41" s="63"/>
      <c r="G41" s="63"/>
      <c r="H41" s="63"/>
      <c r="I41" s="63"/>
      <c r="J41" s="63"/>
      <c r="K41" s="63"/>
      <c r="L41" s="63"/>
      <c r="M41" s="63"/>
      <c r="N41" s="63"/>
      <c r="O41" s="63"/>
    </row>
    <row r="42" spans="1:15" x14ac:dyDescent="0.45">
      <c r="A42" s="63"/>
      <c r="B42" s="63"/>
      <c r="C42" s="63"/>
      <c r="D42" s="63"/>
      <c r="E42" s="63"/>
      <c r="F42" s="63"/>
      <c r="G42" s="63"/>
      <c r="H42" s="63"/>
      <c r="I42" s="63"/>
      <c r="J42" s="63"/>
      <c r="K42" s="63"/>
      <c r="L42" s="63"/>
      <c r="M42" s="63"/>
      <c r="N42" s="63"/>
      <c r="O42" s="63"/>
    </row>
    <row r="43" spans="1:15" x14ac:dyDescent="0.45">
      <c r="A43" s="63"/>
      <c r="B43" s="63"/>
      <c r="C43" s="63"/>
      <c r="D43" s="63"/>
      <c r="E43" s="63"/>
      <c r="F43" s="63"/>
      <c r="G43" s="63"/>
      <c r="H43" s="63"/>
      <c r="I43" s="63"/>
      <c r="J43" s="63"/>
      <c r="K43" s="63"/>
      <c r="L43" s="63"/>
      <c r="M43" s="63"/>
      <c r="N43" s="63"/>
      <c r="O43" s="63"/>
    </row>
    <row r="44" spans="1:15" x14ac:dyDescent="0.45">
      <c r="A44" s="63"/>
      <c r="B44" s="63"/>
      <c r="C44" s="63"/>
      <c r="D44" s="63"/>
      <c r="E44" s="63"/>
      <c r="F44" s="63"/>
      <c r="G44" s="63"/>
      <c r="H44" s="63"/>
      <c r="I44" s="63"/>
      <c r="J44" s="63"/>
      <c r="K44" s="63"/>
      <c r="L44" s="63"/>
      <c r="M44" s="63"/>
      <c r="N44" s="63"/>
      <c r="O44" s="63"/>
    </row>
    <row r="45" spans="1:15" x14ac:dyDescent="0.45">
      <c r="A45" s="63"/>
      <c r="B45" s="63"/>
      <c r="C45" s="63"/>
      <c r="D45" s="63"/>
      <c r="E45" s="63"/>
      <c r="F45" s="63"/>
      <c r="G45" s="63"/>
      <c r="H45" s="63"/>
      <c r="I45" s="63"/>
      <c r="J45" s="63"/>
      <c r="K45" s="63"/>
      <c r="L45" s="63"/>
      <c r="M45" s="63"/>
      <c r="N45" s="63"/>
      <c r="O45" s="63"/>
    </row>
  </sheetData>
  <autoFilter ref="A5:O45" xr:uid="{00000000-0009-0000-0000-00000D000000}"/>
  <mergeCells count="3">
    <mergeCell ref="A1:O1"/>
    <mergeCell ref="A2:O2"/>
    <mergeCell ref="A3:O3"/>
  </mergeCells>
  <conditionalFormatting sqref="O6:O45">
    <cfRule type="cellIs" dxfId="21" priority="2" operator="equal">
      <formula>"Rejected"</formula>
    </cfRule>
    <cfRule type="cellIs" dxfId="20" priority="3" operator="equal">
      <formula>"Approved"</formula>
    </cfRule>
    <cfRule type="cellIs" dxfId="19" priority="4" operator="equal">
      <formula>"Pending"</formula>
    </cfRule>
  </conditionalFormatting>
  <dataValidations count="2">
    <dataValidation type="list" allowBlank="1" sqref="L6:L45" xr:uid="{00000000-0002-0000-0D00-000000000000}">
      <formula1>OwnerList</formula1>
      <formula2>0</formula2>
    </dataValidation>
    <dataValidation type="list" allowBlank="1" sqref="O6:O45" xr:uid="{00000000-0002-0000-0D00-000001000000}">
      <formula1>"Approved,Approved with conditions,Rejected,Pending"</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E8641C"/>
    <pageSetUpPr fitToPage="1"/>
  </sheetPr>
  <dimension ref="A1:G16"/>
  <sheetViews>
    <sheetView showGridLines="0" tabSelected="1" zoomScaleNormal="100" workbookViewId="0">
      <pane ySplit="5" topLeftCell="A6" activePane="bottomLeft" state="frozen"/>
      <selection pane="bottomLeft"/>
    </sheetView>
  </sheetViews>
  <sheetFormatPr defaultColWidth="8.6640625" defaultRowHeight="14.25" x14ac:dyDescent="0.45"/>
  <cols>
    <col min="1" max="1" width="8" customWidth="1"/>
    <col min="2" max="2" width="32" customWidth="1"/>
    <col min="3" max="3" width="50" customWidth="1"/>
    <col min="4" max="4" width="13" customWidth="1"/>
    <col min="5" max="5" width="44" customWidth="1"/>
    <col min="6" max="6" width="17" customWidth="1"/>
    <col min="7" max="7" width="26" customWidth="1"/>
  </cols>
  <sheetData>
    <row r="1" spans="1:7" ht="30" customHeight="1" x14ac:dyDescent="0.45">
      <c r="A1" s="122" t="s">
        <v>1411</v>
      </c>
      <c r="B1" s="122"/>
      <c r="C1" s="122"/>
      <c r="D1" s="122"/>
      <c r="E1" s="122"/>
      <c r="F1" s="122"/>
      <c r="G1" s="122"/>
    </row>
    <row r="2" spans="1:7" ht="18" customHeight="1" x14ac:dyDescent="0.45">
      <c r="A2" s="123" t="s">
        <v>1412</v>
      </c>
      <c r="B2" s="123"/>
      <c r="C2" s="123"/>
      <c r="D2" s="123"/>
      <c r="E2" s="123"/>
      <c r="F2" s="123"/>
      <c r="G2" s="123"/>
    </row>
    <row r="3" spans="1:7" ht="21.75" customHeight="1" x14ac:dyDescent="0.45">
      <c r="A3" s="124" t="s">
        <v>1413</v>
      </c>
      <c r="B3" s="124"/>
      <c r="C3" s="124"/>
      <c r="D3" s="124"/>
      <c r="E3" s="124"/>
      <c r="F3" s="124"/>
      <c r="G3" s="124"/>
    </row>
    <row r="5" spans="1:7" ht="31.5" customHeight="1" x14ac:dyDescent="0.45">
      <c r="A5" s="32" t="s">
        <v>1414</v>
      </c>
      <c r="B5" s="32" t="s">
        <v>1415</v>
      </c>
      <c r="C5" s="32" t="s">
        <v>1416</v>
      </c>
      <c r="D5" s="32" t="s">
        <v>1417</v>
      </c>
      <c r="E5" s="32" t="s">
        <v>1418</v>
      </c>
      <c r="F5" s="32" t="s">
        <v>1419</v>
      </c>
      <c r="G5" s="32" t="s">
        <v>1420</v>
      </c>
    </row>
    <row r="6" spans="1:7" ht="33.75" customHeight="1" x14ac:dyDescent="0.45">
      <c r="A6" s="77" t="s">
        <v>1421</v>
      </c>
      <c r="B6" s="57" t="s">
        <v>1422</v>
      </c>
      <c r="C6" s="48" t="s">
        <v>1423</v>
      </c>
      <c r="D6" s="60"/>
      <c r="E6" s="63"/>
      <c r="F6" s="60"/>
      <c r="G6" s="63"/>
    </row>
    <row r="7" spans="1:7" ht="33.75" customHeight="1" x14ac:dyDescent="0.45">
      <c r="A7" s="77" t="s">
        <v>1424</v>
      </c>
      <c r="B7" s="57" t="s">
        <v>1425</v>
      </c>
      <c r="C7" s="48" t="s">
        <v>1426</v>
      </c>
      <c r="D7" s="60"/>
      <c r="E7" s="63"/>
      <c r="F7" s="60"/>
      <c r="G7" s="63"/>
    </row>
    <row r="8" spans="1:7" ht="33.75" customHeight="1" x14ac:dyDescent="0.45">
      <c r="A8" s="77" t="s">
        <v>1427</v>
      </c>
      <c r="B8" s="57" t="s">
        <v>1428</v>
      </c>
      <c r="C8" s="48" t="s">
        <v>1429</v>
      </c>
      <c r="D8" s="60"/>
      <c r="E8" s="63"/>
      <c r="F8" s="60"/>
      <c r="G8" s="63"/>
    </row>
    <row r="9" spans="1:7" ht="33.75" customHeight="1" x14ac:dyDescent="0.45">
      <c r="A9" s="77" t="s">
        <v>1430</v>
      </c>
      <c r="B9" s="57" t="s">
        <v>1431</v>
      </c>
      <c r="C9" s="48" t="s">
        <v>1432</v>
      </c>
      <c r="D9" s="60"/>
      <c r="E9" s="63"/>
      <c r="F9" s="60"/>
      <c r="G9" s="63"/>
    </row>
    <row r="10" spans="1:7" ht="33.75" customHeight="1" x14ac:dyDescent="0.45">
      <c r="A10" s="77" t="s">
        <v>1433</v>
      </c>
      <c r="B10" s="57" t="s">
        <v>1434</v>
      </c>
      <c r="C10" s="48" t="s">
        <v>1435</v>
      </c>
      <c r="D10" s="60"/>
      <c r="E10" s="63"/>
      <c r="F10" s="60"/>
      <c r="G10" s="63"/>
    </row>
    <row r="11" spans="1:7" ht="33.75" customHeight="1" x14ac:dyDescent="0.45">
      <c r="A11" s="77" t="s">
        <v>1436</v>
      </c>
      <c r="B11" s="57" t="s">
        <v>1437</v>
      </c>
      <c r="C11" s="48" t="s">
        <v>1438</v>
      </c>
      <c r="D11" s="60"/>
      <c r="E11" s="63"/>
      <c r="F11" s="60"/>
      <c r="G11" s="63"/>
    </row>
    <row r="12" spans="1:7" ht="33.75" customHeight="1" x14ac:dyDescent="0.45">
      <c r="A12" s="77" t="s">
        <v>1439</v>
      </c>
      <c r="B12" s="57" t="s">
        <v>1440</v>
      </c>
      <c r="C12" s="48" t="s">
        <v>1441</v>
      </c>
      <c r="D12" s="60"/>
      <c r="E12" s="63"/>
      <c r="F12" s="60"/>
      <c r="G12" s="63"/>
    </row>
    <row r="13" spans="1:7" ht="33.75" customHeight="1" x14ac:dyDescent="0.45">
      <c r="A13" s="77" t="s">
        <v>1442</v>
      </c>
      <c r="B13" s="57" t="s">
        <v>1443</v>
      </c>
      <c r="C13" s="48" t="s">
        <v>1444</v>
      </c>
      <c r="D13" s="60"/>
      <c r="E13" s="63"/>
      <c r="F13" s="60"/>
      <c r="G13" s="63"/>
    </row>
    <row r="14" spans="1:7" ht="33.75" customHeight="1" x14ac:dyDescent="0.45">
      <c r="A14" s="77" t="s">
        <v>1445</v>
      </c>
      <c r="B14" s="57" t="s">
        <v>1446</v>
      </c>
      <c r="C14" s="48" t="s">
        <v>1447</v>
      </c>
      <c r="D14" s="60"/>
      <c r="E14" s="63"/>
      <c r="F14" s="60"/>
      <c r="G14" s="63"/>
    </row>
    <row r="16" spans="1:7" ht="25.5" customHeight="1" x14ac:dyDescent="0.45">
      <c r="A16" s="128" t="s">
        <v>1448</v>
      </c>
      <c r="B16" s="128"/>
      <c r="C16" s="128"/>
      <c r="D16" s="128"/>
      <c r="E16" s="128"/>
      <c r="F16" s="128"/>
      <c r="G16" s="128"/>
    </row>
  </sheetData>
  <mergeCells count="4">
    <mergeCell ref="A1:G1"/>
    <mergeCell ref="A2:G2"/>
    <mergeCell ref="A3:G3"/>
    <mergeCell ref="A16:G16"/>
  </mergeCells>
  <conditionalFormatting sqref="D6:D14">
    <cfRule type="cellIs" dxfId="18" priority="2" operator="equal">
      <formula>"Excluded"</formula>
    </cfRule>
  </conditionalFormatting>
  <dataValidations count="2">
    <dataValidation type="list" allowBlank="1" sqref="D6:D14" xr:uid="{00000000-0002-0000-0E00-000000000000}">
      <formula1>"Applicable,Excluded"</formula1>
      <formula2>0</formula2>
    </dataValidation>
    <dataValidation type="list" allowBlank="1" sqref="F6:F14" xr:uid="{00000000-0002-0000-0E00-000001000000}">
      <formula1>"Not Started,In Progress,Complete,N/A"</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E8641C"/>
    <pageSetUpPr fitToPage="1"/>
  </sheetPr>
  <dimension ref="A1:O55"/>
  <sheetViews>
    <sheetView showGridLines="0" zoomScaleNormal="100" workbookViewId="0">
      <pane ySplit="5" topLeftCell="A6" activePane="bottomLeft" state="frozen"/>
      <selection pane="bottomLeft"/>
    </sheetView>
  </sheetViews>
  <sheetFormatPr defaultColWidth="8.6640625" defaultRowHeight="14.25" x14ac:dyDescent="0.45"/>
  <cols>
    <col min="1" max="1" width="11" customWidth="1"/>
    <col min="2" max="2" width="13" customWidth="1"/>
    <col min="3" max="3" width="20" customWidth="1"/>
    <col min="4" max="4" width="13" customWidth="1"/>
    <col min="5" max="5" width="38" customWidth="1"/>
    <col min="6" max="6" width="32" customWidth="1"/>
    <col min="7" max="8" width="30" customWidth="1"/>
    <col min="9" max="9" width="13" customWidth="1"/>
    <col min="10" max="10" width="22" customWidth="1"/>
    <col min="11" max="11" width="13" customWidth="1"/>
    <col min="12" max="12" width="32" customWidth="1"/>
    <col min="13" max="13" width="15" customWidth="1"/>
    <col min="14" max="14" width="12" customWidth="1"/>
    <col min="15" max="15" width="13" customWidth="1"/>
  </cols>
  <sheetData>
    <row r="1" spans="1:15" ht="30" customHeight="1" x14ac:dyDescent="0.45">
      <c r="A1" s="122" t="s">
        <v>1449</v>
      </c>
      <c r="B1" s="122"/>
      <c r="C1" s="122"/>
      <c r="D1" s="122"/>
      <c r="E1" s="122"/>
      <c r="F1" s="122"/>
      <c r="G1" s="122"/>
      <c r="H1" s="122"/>
      <c r="I1" s="122"/>
      <c r="J1" s="122"/>
      <c r="K1" s="122"/>
      <c r="L1" s="122"/>
      <c r="M1" s="122"/>
      <c r="N1" s="122"/>
      <c r="O1" s="122"/>
    </row>
    <row r="2" spans="1:15" ht="18" customHeight="1" x14ac:dyDescent="0.45">
      <c r="A2" s="123" t="s">
        <v>1450</v>
      </c>
      <c r="B2" s="123"/>
      <c r="C2" s="123"/>
      <c r="D2" s="123"/>
      <c r="E2" s="123"/>
      <c r="F2" s="123"/>
      <c r="G2" s="123"/>
      <c r="H2" s="123"/>
      <c r="I2" s="123"/>
      <c r="J2" s="123"/>
      <c r="K2" s="123"/>
      <c r="L2" s="123"/>
      <c r="M2" s="123"/>
      <c r="N2" s="123"/>
      <c r="O2" s="123"/>
    </row>
    <row r="3" spans="1:15" ht="21.75" customHeight="1" x14ac:dyDescent="0.45">
      <c r="A3" s="124" t="s">
        <v>1451</v>
      </c>
      <c r="B3" s="124"/>
      <c r="C3" s="124"/>
      <c r="D3" s="124"/>
      <c r="E3" s="124"/>
      <c r="F3" s="124"/>
      <c r="G3" s="124"/>
      <c r="H3" s="124"/>
      <c r="I3" s="124"/>
      <c r="J3" s="124"/>
      <c r="K3" s="124"/>
      <c r="L3" s="124"/>
      <c r="M3" s="124"/>
      <c r="N3" s="124"/>
      <c r="O3" s="124"/>
    </row>
    <row r="5" spans="1:15" ht="31.5" customHeight="1" x14ac:dyDescent="0.45">
      <c r="A5" s="32" t="s">
        <v>1452</v>
      </c>
      <c r="B5" s="32" t="s">
        <v>1453</v>
      </c>
      <c r="C5" s="32" t="s">
        <v>1360</v>
      </c>
      <c r="D5" s="32" t="s">
        <v>1454</v>
      </c>
      <c r="E5" s="32" t="s">
        <v>1455</v>
      </c>
      <c r="F5" s="32" t="s">
        <v>1456</v>
      </c>
      <c r="G5" s="32" t="s">
        <v>1457</v>
      </c>
      <c r="H5" s="32" t="s">
        <v>1458</v>
      </c>
      <c r="I5" s="32" t="s">
        <v>1459</v>
      </c>
      <c r="J5" s="32" t="s">
        <v>1460</v>
      </c>
      <c r="K5" s="32" t="s">
        <v>1461</v>
      </c>
      <c r="L5" s="32" t="s">
        <v>1462</v>
      </c>
      <c r="M5" s="32" t="s">
        <v>1463</v>
      </c>
      <c r="N5" s="32" t="s">
        <v>1464</v>
      </c>
      <c r="O5" s="32" t="s">
        <v>580</v>
      </c>
    </row>
    <row r="6" spans="1:15" ht="23.25" x14ac:dyDescent="0.45">
      <c r="A6" s="75" t="s">
        <v>1465</v>
      </c>
      <c r="B6" s="63"/>
      <c r="C6" s="75" t="s">
        <v>1466</v>
      </c>
      <c r="D6" s="75" t="s">
        <v>1467</v>
      </c>
      <c r="E6" s="75" t="s">
        <v>1468</v>
      </c>
      <c r="F6" s="75" t="s">
        <v>1469</v>
      </c>
      <c r="G6" s="75" t="s">
        <v>1470</v>
      </c>
      <c r="H6" s="75" t="s">
        <v>1471</v>
      </c>
      <c r="I6" s="75" t="s">
        <v>155</v>
      </c>
      <c r="J6" s="75" t="s">
        <v>1472</v>
      </c>
      <c r="K6" s="75"/>
      <c r="L6" s="75" t="s">
        <v>1473</v>
      </c>
      <c r="M6" s="75" t="s">
        <v>155</v>
      </c>
      <c r="N6" s="63"/>
      <c r="O6" s="75" t="s">
        <v>1474</v>
      </c>
    </row>
    <row r="7" spans="1:15" x14ac:dyDescent="0.45">
      <c r="A7" s="63"/>
      <c r="B7" s="63"/>
      <c r="C7" s="63"/>
      <c r="D7" s="63"/>
      <c r="E7" s="63"/>
      <c r="F7" s="63"/>
      <c r="G7" s="63"/>
      <c r="H7" s="63"/>
      <c r="I7" s="63"/>
      <c r="J7" s="63"/>
      <c r="K7" s="63"/>
      <c r="L7" s="63"/>
      <c r="M7" s="63"/>
      <c r="N7" s="63"/>
      <c r="O7" s="63"/>
    </row>
    <row r="8" spans="1:15" x14ac:dyDescent="0.45">
      <c r="A8" s="63"/>
      <c r="B8" s="63"/>
      <c r="C8" s="63"/>
      <c r="D8" s="63"/>
      <c r="E8" s="63"/>
      <c r="F8" s="63"/>
      <c r="G8" s="63"/>
      <c r="H8" s="63"/>
      <c r="I8" s="63"/>
      <c r="J8" s="63"/>
      <c r="K8" s="63"/>
      <c r="L8" s="63"/>
      <c r="M8" s="63"/>
      <c r="N8" s="63"/>
      <c r="O8" s="63"/>
    </row>
    <row r="9" spans="1:15" x14ac:dyDescent="0.45">
      <c r="A9" s="63"/>
      <c r="B9" s="63"/>
      <c r="C9" s="63"/>
      <c r="D9" s="63"/>
      <c r="E9" s="63"/>
      <c r="F9" s="63"/>
      <c r="G9" s="63"/>
      <c r="H9" s="63"/>
      <c r="I9" s="63"/>
      <c r="J9" s="63"/>
      <c r="K9" s="63"/>
      <c r="L9" s="63"/>
      <c r="M9" s="63"/>
      <c r="N9" s="63"/>
      <c r="O9" s="63"/>
    </row>
    <row r="10" spans="1:15" x14ac:dyDescent="0.45">
      <c r="A10" s="63"/>
      <c r="B10" s="63"/>
      <c r="C10" s="63"/>
      <c r="D10" s="63"/>
      <c r="E10" s="63"/>
      <c r="F10" s="63"/>
      <c r="G10" s="63"/>
      <c r="H10" s="63"/>
      <c r="I10" s="63"/>
      <c r="J10" s="63"/>
      <c r="K10" s="63"/>
      <c r="L10" s="63"/>
      <c r="M10" s="63"/>
      <c r="N10" s="63"/>
      <c r="O10" s="63"/>
    </row>
    <row r="11" spans="1:15" x14ac:dyDescent="0.45">
      <c r="A11" s="63"/>
      <c r="B11" s="63"/>
      <c r="C11" s="63"/>
      <c r="D11" s="63"/>
      <c r="E11" s="63"/>
      <c r="F11" s="63"/>
      <c r="G11" s="63"/>
      <c r="H11" s="63"/>
      <c r="I11" s="63"/>
      <c r="J11" s="63"/>
      <c r="K11" s="63"/>
      <c r="L11" s="63"/>
      <c r="M11" s="63"/>
      <c r="N11" s="63"/>
      <c r="O11" s="63"/>
    </row>
    <row r="12" spans="1:15" x14ac:dyDescent="0.45">
      <c r="A12" s="63"/>
      <c r="B12" s="63"/>
      <c r="C12" s="63"/>
      <c r="D12" s="63"/>
      <c r="E12" s="63"/>
      <c r="F12" s="63"/>
      <c r="G12" s="63"/>
      <c r="H12" s="63"/>
      <c r="I12" s="63"/>
      <c r="J12" s="63"/>
      <c r="K12" s="63"/>
      <c r="L12" s="63"/>
      <c r="M12" s="63"/>
      <c r="N12" s="63"/>
      <c r="O12" s="63"/>
    </row>
    <row r="13" spans="1:15" x14ac:dyDescent="0.45">
      <c r="A13" s="63"/>
      <c r="B13" s="63"/>
      <c r="C13" s="63"/>
      <c r="D13" s="63"/>
      <c r="E13" s="63"/>
      <c r="F13" s="63"/>
      <c r="G13" s="63"/>
      <c r="H13" s="63"/>
      <c r="I13" s="63"/>
      <c r="J13" s="63"/>
      <c r="K13" s="63"/>
      <c r="L13" s="63"/>
      <c r="M13" s="63"/>
      <c r="N13" s="63"/>
      <c r="O13" s="63"/>
    </row>
    <row r="14" spans="1:15" x14ac:dyDescent="0.45">
      <c r="A14" s="63"/>
      <c r="B14" s="63"/>
      <c r="C14" s="63"/>
      <c r="D14" s="63"/>
      <c r="E14" s="63"/>
      <c r="F14" s="63"/>
      <c r="G14" s="63"/>
      <c r="H14" s="63"/>
      <c r="I14" s="63"/>
      <c r="J14" s="63"/>
      <c r="K14" s="63"/>
      <c r="L14" s="63"/>
      <c r="M14" s="63"/>
      <c r="N14" s="63"/>
      <c r="O14" s="63"/>
    </row>
    <row r="15" spans="1:15" x14ac:dyDescent="0.45">
      <c r="A15" s="63"/>
      <c r="B15" s="63"/>
      <c r="C15" s="63"/>
      <c r="D15" s="63"/>
      <c r="E15" s="63"/>
      <c r="F15" s="63"/>
      <c r="G15" s="63"/>
      <c r="H15" s="63"/>
      <c r="I15" s="63"/>
      <c r="J15" s="63"/>
      <c r="K15" s="63"/>
      <c r="L15" s="63"/>
      <c r="M15" s="63"/>
      <c r="N15" s="63"/>
      <c r="O15" s="63"/>
    </row>
    <row r="16" spans="1:15" x14ac:dyDescent="0.45">
      <c r="A16" s="63"/>
      <c r="B16" s="63"/>
      <c r="C16" s="63"/>
      <c r="D16" s="63"/>
      <c r="E16" s="63"/>
      <c r="F16" s="63"/>
      <c r="G16" s="63"/>
      <c r="H16" s="63"/>
      <c r="I16" s="63"/>
      <c r="J16" s="63"/>
      <c r="K16" s="63"/>
      <c r="L16" s="63"/>
      <c r="M16" s="63"/>
      <c r="N16" s="63"/>
      <c r="O16" s="63"/>
    </row>
    <row r="17" spans="1:15" x14ac:dyDescent="0.45">
      <c r="A17" s="63"/>
      <c r="B17" s="63"/>
      <c r="C17" s="63"/>
      <c r="D17" s="63"/>
      <c r="E17" s="63"/>
      <c r="F17" s="63"/>
      <c r="G17" s="63"/>
      <c r="H17" s="63"/>
      <c r="I17" s="63"/>
      <c r="J17" s="63"/>
      <c r="K17" s="63"/>
      <c r="L17" s="63"/>
      <c r="M17" s="63"/>
      <c r="N17" s="63"/>
      <c r="O17" s="63"/>
    </row>
    <row r="18" spans="1:15" x14ac:dyDescent="0.45">
      <c r="A18" s="63"/>
      <c r="B18" s="63"/>
      <c r="C18" s="63"/>
      <c r="D18" s="63"/>
      <c r="E18" s="63"/>
      <c r="F18" s="63"/>
      <c r="G18" s="63"/>
      <c r="H18" s="63"/>
      <c r="I18" s="63"/>
      <c r="J18" s="63"/>
      <c r="K18" s="63"/>
      <c r="L18" s="63"/>
      <c r="M18" s="63"/>
      <c r="N18" s="63"/>
      <c r="O18" s="63"/>
    </row>
    <row r="19" spans="1:15" x14ac:dyDescent="0.45">
      <c r="A19" s="63"/>
      <c r="B19" s="63"/>
      <c r="C19" s="63"/>
      <c r="D19" s="63"/>
      <c r="E19" s="63"/>
      <c r="F19" s="63"/>
      <c r="G19" s="63"/>
      <c r="H19" s="63"/>
      <c r="I19" s="63"/>
      <c r="J19" s="63"/>
      <c r="K19" s="63"/>
      <c r="L19" s="63"/>
      <c r="M19" s="63"/>
      <c r="N19" s="63"/>
      <c r="O19" s="63"/>
    </row>
    <row r="20" spans="1:15" x14ac:dyDescent="0.45">
      <c r="A20" s="63"/>
      <c r="B20" s="63"/>
      <c r="C20" s="63"/>
      <c r="D20" s="63"/>
      <c r="E20" s="63"/>
      <c r="F20" s="63"/>
      <c r="G20" s="63"/>
      <c r="H20" s="63"/>
      <c r="I20" s="63"/>
      <c r="J20" s="63"/>
      <c r="K20" s="63"/>
      <c r="L20" s="63"/>
      <c r="M20" s="63"/>
      <c r="N20" s="63"/>
      <c r="O20" s="63"/>
    </row>
    <row r="21" spans="1:15" x14ac:dyDescent="0.45">
      <c r="A21" s="63"/>
      <c r="B21" s="63"/>
      <c r="C21" s="63"/>
      <c r="D21" s="63"/>
      <c r="E21" s="63"/>
      <c r="F21" s="63"/>
      <c r="G21" s="63"/>
      <c r="H21" s="63"/>
      <c r="I21" s="63"/>
      <c r="J21" s="63"/>
      <c r="K21" s="63"/>
      <c r="L21" s="63"/>
      <c r="M21" s="63"/>
      <c r="N21" s="63"/>
      <c r="O21" s="63"/>
    </row>
    <row r="22" spans="1:15" x14ac:dyDescent="0.45">
      <c r="A22" s="63"/>
      <c r="B22" s="63"/>
      <c r="C22" s="63"/>
      <c r="D22" s="63"/>
      <c r="E22" s="63"/>
      <c r="F22" s="63"/>
      <c r="G22" s="63"/>
      <c r="H22" s="63"/>
      <c r="I22" s="63"/>
      <c r="J22" s="63"/>
      <c r="K22" s="63"/>
      <c r="L22" s="63"/>
      <c r="M22" s="63"/>
      <c r="N22" s="63"/>
      <c r="O22" s="63"/>
    </row>
    <row r="23" spans="1:15" x14ac:dyDescent="0.45">
      <c r="A23" s="63"/>
      <c r="B23" s="63"/>
      <c r="C23" s="63"/>
      <c r="D23" s="63"/>
      <c r="E23" s="63"/>
      <c r="F23" s="63"/>
      <c r="G23" s="63"/>
      <c r="H23" s="63"/>
      <c r="I23" s="63"/>
      <c r="J23" s="63"/>
      <c r="K23" s="63"/>
      <c r="L23" s="63"/>
      <c r="M23" s="63"/>
      <c r="N23" s="63"/>
      <c r="O23" s="63"/>
    </row>
    <row r="24" spans="1:15" x14ac:dyDescent="0.45">
      <c r="A24" s="63"/>
      <c r="B24" s="63"/>
      <c r="C24" s="63"/>
      <c r="D24" s="63"/>
      <c r="E24" s="63"/>
      <c r="F24" s="63"/>
      <c r="G24" s="63"/>
      <c r="H24" s="63"/>
      <c r="I24" s="63"/>
      <c r="J24" s="63"/>
      <c r="K24" s="63"/>
      <c r="L24" s="63"/>
      <c r="M24" s="63"/>
      <c r="N24" s="63"/>
      <c r="O24" s="63"/>
    </row>
    <row r="25" spans="1:15" x14ac:dyDescent="0.45">
      <c r="A25" s="63"/>
      <c r="B25" s="63"/>
      <c r="C25" s="63"/>
      <c r="D25" s="63"/>
      <c r="E25" s="63"/>
      <c r="F25" s="63"/>
      <c r="G25" s="63"/>
      <c r="H25" s="63"/>
      <c r="I25" s="63"/>
      <c r="J25" s="63"/>
      <c r="K25" s="63"/>
      <c r="L25" s="63"/>
      <c r="M25" s="63"/>
      <c r="N25" s="63"/>
      <c r="O25" s="63"/>
    </row>
    <row r="26" spans="1:15" x14ac:dyDescent="0.45">
      <c r="A26" s="63"/>
      <c r="B26" s="63"/>
      <c r="C26" s="63"/>
      <c r="D26" s="63"/>
      <c r="E26" s="63"/>
      <c r="F26" s="63"/>
      <c r="G26" s="63"/>
      <c r="H26" s="63"/>
      <c r="I26" s="63"/>
      <c r="J26" s="63"/>
      <c r="K26" s="63"/>
      <c r="L26" s="63"/>
      <c r="M26" s="63"/>
      <c r="N26" s="63"/>
      <c r="O26" s="63"/>
    </row>
    <row r="27" spans="1:15" x14ac:dyDescent="0.45">
      <c r="A27" s="63"/>
      <c r="B27" s="63"/>
      <c r="C27" s="63"/>
      <c r="D27" s="63"/>
      <c r="E27" s="63"/>
      <c r="F27" s="63"/>
      <c r="G27" s="63"/>
      <c r="H27" s="63"/>
      <c r="I27" s="63"/>
      <c r="J27" s="63"/>
      <c r="K27" s="63"/>
      <c r="L27" s="63"/>
      <c r="M27" s="63"/>
      <c r="N27" s="63"/>
      <c r="O27" s="63"/>
    </row>
    <row r="28" spans="1:15" x14ac:dyDescent="0.45">
      <c r="A28" s="63"/>
      <c r="B28" s="63"/>
      <c r="C28" s="63"/>
      <c r="D28" s="63"/>
      <c r="E28" s="63"/>
      <c r="F28" s="63"/>
      <c r="G28" s="63"/>
      <c r="H28" s="63"/>
      <c r="I28" s="63"/>
      <c r="J28" s="63"/>
      <c r="K28" s="63"/>
      <c r="L28" s="63"/>
      <c r="M28" s="63"/>
      <c r="N28" s="63"/>
      <c r="O28" s="63"/>
    </row>
    <row r="29" spans="1:15" x14ac:dyDescent="0.45">
      <c r="A29" s="63"/>
      <c r="B29" s="63"/>
      <c r="C29" s="63"/>
      <c r="D29" s="63"/>
      <c r="E29" s="63"/>
      <c r="F29" s="63"/>
      <c r="G29" s="63"/>
      <c r="H29" s="63"/>
      <c r="I29" s="63"/>
      <c r="J29" s="63"/>
      <c r="K29" s="63"/>
      <c r="L29" s="63"/>
      <c r="M29" s="63"/>
      <c r="N29" s="63"/>
      <c r="O29" s="63"/>
    </row>
    <row r="30" spans="1:15" x14ac:dyDescent="0.45">
      <c r="A30" s="63"/>
      <c r="B30" s="63"/>
      <c r="C30" s="63"/>
      <c r="D30" s="63"/>
      <c r="E30" s="63"/>
      <c r="F30" s="63"/>
      <c r="G30" s="63"/>
      <c r="H30" s="63"/>
      <c r="I30" s="63"/>
      <c r="J30" s="63"/>
      <c r="K30" s="63"/>
      <c r="L30" s="63"/>
      <c r="M30" s="63"/>
      <c r="N30" s="63"/>
      <c r="O30" s="63"/>
    </row>
    <row r="31" spans="1:15" x14ac:dyDescent="0.45">
      <c r="A31" s="63"/>
      <c r="B31" s="63"/>
      <c r="C31" s="63"/>
      <c r="D31" s="63"/>
      <c r="E31" s="63"/>
      <c r="F31" s="63"/>
      <c r="G31" s="63"/>
      <c r="H31" s="63"/>
      <c r="I31" s="63"/>
      <c r="J31" s="63"/>
      <c r="K31" s="63"/>
      <c r="L31" s="63"/>
      <c r="M31" s="63"/>
      <c r="N31" s="63"/>
      <c r="O31" s="63"/>
    </row>
    <row r="32" spans="1:15" x14ac:dyDescent="0.45">
      <c r="A32" s="63"/>
      <c r="B32" s="63"/>
      <c r="C32" s="63"/>
      <c r="D32" s="63"/>
      <c r="E32" s="63"/>
      <c r="F32" s="63"/>
      <c r="G32" s="63"/>
      <c r="H32" s="63"/>
      <c r="I32" s="63"/>
      <c r="J32" s="63"/>
      <c r="K32" s="63"/>
      <c r="L32" s="63"/>
      <c r="M32" s="63"/>
      <c r="N32" s="63"/>
      <c r="O32" s="63"/>
    </row>
    <row r="33" spans="1:15" x14ac:dyDescent="0.45">
      <c r="A33" s="63"/>
      <c r="B33" s="63"/>
      <c r="C33" s="63"/>
      <c r="D33" s="63"/>
      <c r="E33" s="63"/>
      <c r="F33" s="63"/>
      <c r="G33" s="63"/>
      <c r="H33" s="63"/>
      <c r="I33" s="63"/>
      <c r="J33" s="63"/>
      <c r="K33" s="63"/>
      <c r="L33" s="63"/>
      <c r="M33" s="63"/>
      <c r="N33" s="63"/>
      <c r="O33" s="63"/>
    </row>
    <row r="34" spans="1:15" x14ac:dyDescent="0.45">
      <c r="A34" s="63"/>
      <c r="B34" s="63"/>
      <c r="C34" s="63"/>
      <c r="D34" s="63"/>
      <c r="E34" s="63"/>
      <c r="F34" s="63"/>
      <c r="G34" s="63"/>
      <c r="H34" s="63"/>
      <c r="I34" s="63"/>
      <c r="J34" s="63"/>
      <c r="K34" s="63"/>
      <c r="L34" s="63"/>
      <c r="M34" s="63"/>
      <c r="N34" s="63"/>
      <c r="O34" s="63"/>
    </row>
    <row r="35" spans="1:15" x14ac:dyDescent="0.45">
      <c r="A35" s="63"/>
      <c r="B35" s="63"/>
      <c r="C35" s="63"/>
      <c r="D35" s="63"/>
      <c r="E35" s="63"/>
      <c r="F35" s="63"/>
      <c r="G35" s="63"/>
      <c r="H35" s="63"/>
      <c r="I35" s="63"/>
      <c r="J35" s="63"/>
      <c r="K35" s="63"/>
      <c r="L35" s="63"/>
      <c r="M35" s="63"/>
      <c r="N35" s="63"/>
      <c r="O35" s="63"/>
    </row>
    <row r="36" spans="1:15" x14ac:dyDescent="0.45">
      <c r="A36" s="63"/>
      <c r="B36" s="63"/>
      <c r="C36" s="63"/>
      <c r="D36" s="63"/>
      <c r="E36" s="63"/>
      <c r="F36" s="63"/>
      <c r="G36" s="63"/>
      <c r="H36" s="63"/>
      <c r="I36" s="63"/>
      <c r="J36" s="63"/>
      <c r="K36" s="63"/>
      <c r="L36" s="63"/>
      <c r="M36" s="63"/>
      <c r="N36" s="63"/>
      <c r="O36" s="63"/>
    </row>
    <row r="37" spans="1:15" x14ac:dyDescent="0.45">
      <c r="A37" s="63"/>
      <c r="B37" s="63"/>
      <c r="C37" s="63"/>
      <c r="D37" s="63"/>
      <c r="E37" s="63"/>
      <c r="F37" s="63"/>
      <c r="G37" s="63"/>
      <c r="H37" s="63"/>
      <c r="I37" s="63"/>
      <c r="J37" s="63"/>
      <c r="K37" s="63"/>
      <c r="L37" s="63"/>
      <c r="M37" s="63"/>
      <c r="N37" s="63"/>
      <c r="O37" s="63"/>
    </row>
    <row r="38" spans="1:15" x14ac:dyDescent="0.45">
      <c r="A38" s="63"/>
      <c r="B38" s="63"/>
      <c r="C38" s="63"/>
      <c r="D38" s="63"/>
      <c r="E38" s="63"/>
      <c r="F38" s="63"/>
      <c r="G38" s="63"/>
      <c r="H38" s="63"/>
      <c r="I38" s="63"/>
      <c r="J38" s="63"/>
      <c r="K38" s="63"/>
      <c r="L38" s="63"/>
      <c r="M38" s="63"/>
      <c r="N38" s="63"/>
      <c r="O38" s="63"/>
    </row>
    <row r="39" spans="1:15" x14ac:dyDescent="0.45">
      <c r="A39" s="63"/>
      <c r="B39" s="63"/>
      <c r="C39" s="63"/>
      <c r="D39" s="63"/>
      <c r="E39" s="63"/>
      <c r="F39" s="63"/>
      <c r="G39" s="63"/>
      <c r="H39" s="63"/>
      <c r="I39" s="63"/>
      <c r="J39" s="63"/>
      <c r="K39" s="63"/>
      <c r="L39" s="63"/>
      <c r="M39" s="63"/>
      <c r="N39" s="63"/>
      <c r="O39" s="63"/>
    </row>
    <row r="40" spans="1:15" x14ac:dyDescent="0.45">
      <c r="A40" s="63"/>
      <c r="B40" s="63"/>
      <c r="C40" s="63"/>
      <c r="D40" s="63"/>
      <c r="E40" s="63"/>
      <c r="F40" s="63"/>
      <c r="G40" s="63"/>
      <c r="H40" s="63"/>
      <c r="I40" s="63"/>
      <c r="J40" s="63"/>
      <c r="K40" s="63"/>
      <c r="L40" s="63"/>
      <c r="M40" s="63"/>
      <c r="N40" s="63"/>
      <c r="O40" s="63"/>
    </row>
    <row r="41" spans="1:15" x14ac:dyDescent="0.45">
      <c r="A41" s="63"/>
      <c r="B41" s="63"/>
      <c r="C41" s="63"/>
      <c r="D41" s="63"/>
      <c r="E41" s="63"/>
      <c r="F41" s="63"/>
      <c r="G41" s="63"/>
      <c r="H41" s="63"/>
      <c r="I41" s="63"/>
      <c r="J41" s="63"/>
      <c r="K41" s="63"/>
      <c r="L41" s="63"/>
      <c r="M41" s="63"/>
      <c r="N41" s="63"/>
      <c r="O41" s="63"/>
    </row>
    <row r="42" spans="1:15" x14ac:dyDescent="0.45">
      <c r="A42" s="63"/>
      <c r="B42" s="63"/>
      <c r="C42" s="63"/>
      <c r="D42" s="63"/>
      <c r="E42" s="63"/>
      <c r="F42" s="63"/>
      <c r="G42" s="63"/>
      <c r="H42" s="63"/>
      <c r="I42" s="63"/>
      <c r="J42" s="63"/>
      <c r="K42" s="63"/>
      <c r="L42" s="63"/>
      <c r="M42" s="63"/>
      <c r="N42" s="63"/>
      <c r="O42" s="63"/>
    </row>
    <row r="43" spans="1:15" x14ac:dyDescent="0.45">
      <c r="A43" s="63"/>
      <c r="B43" s="63"/>
      <c r="C43" s="63"/>
      <c r="D43" s="63"/>
      <c r="E43" s="63"/>
      <c r="F43" s="63"/>
      <c r="G43" s="63"/>
      <c r="H43" s="63"/>
      <c r="I43" s="63"/>
      <c r="J43" s="63"/>
      <c r="K43" s="63"/>
      <c r="L43" s="63"/>
      <c r="M43" s="63"/>
      <c r="N43" s="63"/>
      <c r="O43" s="63"/>
    </row>
    <row r="44" spans="1:15" x14ac:dyDescent="0.45">
      <c r="A44" s="63"/>
      <c r="B44" s="63"/>
      <c r="C44" s="63"/>
      <c r="D44" s="63"/>
      <c r="E44" s="63"/>
      <c r="F44" s="63"/>
      <c r="G44" s="63"/>
      <c r="H44" s="63"/>
      <c r="I44" s="63"/>
      <c r="J44" s="63"/>
      <c r="K44" s="63"/>
      <c r="L44" s="63"/>
      <c r="M44" s="63"/>
      <c r="N44" s="63"/>
      <c r="O44" s="63"/>
    </row>
    <row r="45" spans="1:15" x14ac:dyDescent="0.45">
      <c r="A45" s="63"/>
      <c r="B45" s="63"/>
      <c r="C45" s="63"/>
      <c r="D45" s="63"/>
      <c r="E45" s="63"/>
      <c r="F45" s="63"/>
      <c r="G45" s="63"/>
      <c r="H45" s="63"/>
      <c r="I45" s="63"/>
      <c r="J45" s="63"/>
      <c r="K45" s="63"/>
      <c r="L45" s="63"/>
      <c r="M45" s="63"/>
      <c r="N45" s="63"/>
      <c r="O45" s="63"/>
    </row>
    <row r="46" spans="1:15" x14ac:dyDescent="0.45">
      <c r="A46" s="63"/>
      <c r="B46" s="63"/>
      <c r="C46" s="63"/>
      <c r="D46" s="63"/>
      <c r="E46" s="63"/>
      <c r="F46" s="63"/>
      <c r="G46" s="63"/>
      <c r="H46" s="63"/>
      <c r="I46" s="63"/>
      <c r="J46" s="63"/>
      <c r="K46" s="63"/>
      <c r="L46" s="63"/>
      <c r="M46" s="63"/>
      <c r="N46" s="63"/>
      <c r="O46" s="63"/>
    </row>
    <row r="47" spans="1:15" x14ac:dyDescent="0.45">
      <c r="A47" s="63"/>
      <c r="B47" s="63"/>
      <c r="C47" s="63"/>
      <c r="D47" s="63"/>
      <c r="E47" s="63"/>
      <c r="F47" s="63"/>
      <c r="G47" s="63"/>
      <c r="H47" s="63"/>
      <c r="I47" s="63"/>
      <c r="J47" s="63"/>
      <c r="K47" s="63"/>
      <c r="L47" s="63"/>
      <c r="M47" s="63"/>
      <c r="N47" s="63"/>
      <c r="O47" s="63"/>
    </row>
    <row r="48" spans="1:15" x14ac:dyDescent="0.45">
      <c r="A48" s="63"/>
      <c r="B48" s="63"/>
      <c r="C48" s="63"/>
      <c r="D48" s="63"/>
      <c r="E48" s="63"/>
      <c r="F48" s="63"/>
      <c r="G48" s="63"/>
      <c r="H48" s="63"/>
      <c r="I48" s="63"/>
      <c r="J48" s="63"/>
      <c r="K48" s="63"/>
      <c r="L48" s="63"/>
      <c r="M48" s="63"/>
      <c r="N48" s="63"/>
      <c r="O48" s="63"/>
    </row>
    <row r="49" spans="1:15" x14ac:dyDescent="0.45">
      <c r="A49" s="63"/>
      <c r="B49" s="63"/>
      <c r="C49" s="63"/>
      <c r="D49" s="63"/>
      <c r="E49" s="63"/>
      <c r="F49" s="63"/>
      <c r="G49" s="63"/>
      <c r="H49" s="63"/>
      <c r="I49" s="63"/>
      <c r="J49" s="63"/>
      <c r="K49" s="63"/>
      <c r="L49" s="63"/>
      <c r="M49" s="63"/>
      <c r="N49" s="63"/>
      <c r="O49" s="63"/>
    </row>
    <row r="50" spans="1:15" x14ac:dyDescent="0.45">
      <c r="A50" s="63"/>
      <c r="B50" s="63"/>
      <c r="C50" s="63"/>
      <c r="D50" s="63"/>
      <c r="E50" s="63"/>
      <c r="F50" s="63"/>
      <c r="G50" s="63"/>
      <c r="H50" s="63"/>
      <c r="I50" s="63"/>
      <c r="J50" s="63"/>
      <c r="K50" s="63"/>
      <c r="L50" s="63"/>
      <c r="M50" s="63"/>
      <c r="N50" s="63"/>
      <c r="O50" s="63"/>
    </row>
    <row r="51" spans="1:15" x14ac:dyDescent="0.45">
      <c r="A51" s="63"/>
      <c r="B51" s="63"/>
      <c r="C51" s="63"/>
      <c r="D51" s="63"/>
      <c r="E51" s="63"/>
      <c r="F51" s="63"/>
      <c r="G51" s="63"/>
      <c r="H51" s="63"/>
      <c r="I51" s="63"/>
      <c r="J51" s="63"/>
      <c r="K51" s="63"/>
      <c r="L51" s="63"/>
      <c r="M51" s="63"/>
      <c r="N51" s="63"/>
      <c r="O51" s="63"/>
    </row>
    <row r="52" spans="1:15" x14ac:dyDescent="0.45">
      <c r="A52" s="63"/>
      <c r="B52" s="63"/>
      <c r="C52" s="63"/>
      <c r="D52" s="63"/>
      <c r="E52" s="63"/>
      <c r="F52" s="63"/>
      <c r="G52" s="63"/>
      <c r="H52" s="63"/>
      <c r="I52" s="63"/>
      <c r="J52" s="63"/>
      <c r="K52" s="63"/>
      <c r="L52" s="63"/>
      <c r="M52" s="63"/>
      <c r="N52" s="63"/>
      <c r="O52" s="63"/>
    </row>
    <row r="53" spans="1:15" x14ac:dyDescent="0.45">
      <c r="A53" s="63"/>
      <c r="B53" s="63"/>
      <c r="C53" s="63"/>
      <c r="D53" s="63"/>
      <c r="E53" s="63"/>
      <c r="F53" s="63"/>
      <c r="G53" s="63"/>
      <c r="H53" s="63"/>
      <c r="I53" s="63"/>
      <c r="J53" s="63"/>
      <c r="K53" s="63"/>
      <c r="L53" s="63"/>
      <c r="M53" s="63"/>
      <c r="N53" s="63"/>
      <c r="O53" s="63"/>
    </row>
    <row r="54" spans="1:15" x14ac:dyDescent="0.45">
      <c r="A54" s="63"/>
      <c r="B54" s="63"/>
      <c r="C54" s="63"/>
      <c r="D54" s="63"/>
      <c r="E54" s="63"/>
      <c r="F54" s="63"/>
      <c r="G54" s="63"/>
      <c r="H54" s="63"/>
      <c r="I54" s="63"/>
      <c r="J54" s="63"/>
      <c r="K54" s="63"/>
      <c r="L54" s="63"/>
      <c r="M54" s="63"/>
      <c r="N54" s="63"/>
      <c r="O54" s="63"/>
    </row>
    <row r="55" spans="1:15" x14ac:dyDescent="0.45">
      <c r="A55" s="63"/>
      <c r="B55" s="63"/>
      <c r="C55" s="63"/>
      <c r="D55" s="63"/>
      <c r="E55" s="63"/>
      <c r="F55" s="63"/>
      <c r="G55" s="63"/>
      <c r="H55" s="63"/>
      <c r="I55" s="63"/>
      <c r="J55" s="63"/>
      <c r="K55" s="63"/>
      <c r="L55" s="63"/>
      <c r="M55" s="63"/>
      <c r="N55" s="63"/>
      <c r="O55" s="63"/>
    </row>
  </sheetData>
  <autoFilter ref="A5:O55" xr:uid="{00000000-0009-0000-0000-00000F000000}"/>
  <mergeCells count="3">
    <mergeCell ref="A1:O1"/>
    <mergeCell ref="A2:O2"/>
    <mergeCell ref="A3:O3"/>
  </mergeCells>
  <conditionalFormatting sqref="D6:D55">
    <cfRule type="cellIs" dxfId="17" priority="2" operator="equal">
      <formula>"S1 - Critical"</formula>
    </cfRule>
    <cfRule type="cellIs" dxfId="16" priority="3" operator="equal">
      <formula>"S2 - Major"</formula>
    </cfRule>
  </conditionalFormatting>
  <conditionalFormatting sqref="O6:O55">
    <cfRule type="cellIs" dxfId="15" priority="4" operator="equal">
      <formula>"Open"</formula>
    </cfRule>
    <cfRule type="cellIs" dxfId="14" priority="5" operator="equal">
      <formula>"Closed"</formula>
    </cfRule>
  </conditionalFormatting>
  <dataValidations count="3">
    <dataValidation type="list" allowBlank="1" sqref="D6:D55" xr:uid="{00000000-0002-0000-0F00-000000000000}">
      <formula1>"S1 - Critical,S2 - Major,S3 - Moderate,S4 - Minor,Near miss"</formula1>
      <formula2>0</formula2>
    </dataValidation>
    <dataValidation type="list" allowBlank="1" sqref="I6:I55 M6:M55" xr:uid="{00000000-0002-0000-0F00-000001000000}">
      <formula1>"Yes,No,Assessing"</formula1>
      <formula2>0</formula2>
    </dataValidation>
    <dataValidation type="list" allowBlank="1" sqref="O6:O55" xr:uid="{00000000-0002-0000-0F00-000002000000}">
      <formula1>"Open,Contained,Under review,Closed"</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8641C"/>
    <pageSetUpPr fitToPage="1"/>
  </sheetPr>
  <dimension ref="A1:O55"/>
  <sheetViews>
    <sheetView showGridLines="0" zoomScaleNormal="100" workbookViewId="0">
      <pane ySplit="5" topLeftCell="A6" activePane="bottomLeft" state="frozen"/>
      <selection pane="bottomLeft"/>
    </sheetView>
  </sheetViews>
  <sheetFormatPr defaultColWidth="8.6640625" defaultRowHeight="14.25" x14ac:dyDescent="0.45"/>
  <cols>
    <col min="1" max="1" width="8" customWidth="1"/>
    <col min="2" max="2" width="20" customWidth="1"/>
    <col min="3" max="3" width="24" customWidth="1"/>
    <col min="4" max="4" width="28" customWidth="1"/>
    <col min="5" max="6" width="13" customWidth="1"/>
    <col min="7" max="7" width="24" customWidth="1"/>
    <col min="8" max="8" width="15" customWidth="1"/>
    <col min="9" max="9" width="12" customWidth="1"/>
    <col min="10" max="10" width="15" customWidth="1"/>
    <col min="11" max="11" width="16" customWidth="1"/>
    <col min="12" max="12" width="13" customWidth="1"/>
    <col min="13" max="13" width="18" customWidth="1"/>
    <col min="14" max="14" width="13" customWidth="1"/>
    <col min="15" max="15" width="14" customWidth="1"/>
  </cols>
  <sheetData>
    <row r="1" spans="1:15" ht="30" customHeight="1" x14ac:dyDescent="0.45">
      <c r="A1" s="122" t="s">
        <v>1475</v>
      </c>
      <c r="B1" s="122"/>
      <c r="C1" s="122"/>
      <c r="D1" s="122"/>
      <c r="E1" s="122"/>
      <c r="F1" s="122"/>
      <c r="G1" s="122"/>
      <c r="H1" s="122"/>
      <c r="I1" s="122"/>
      <c r="J1" s="122"/>
      <c r="K1" s="122"/>
      <c r="L1" s="122"/>
      <c r="M1" s="122"/>
      <c r="N1" s="122"/>
      <c r="O1" s="122"/>
    </row>
    <row r="2" spans="1:15" ht="18" customHeight="1" x14ac:dyDescent="0.45">
      <c r="A2" s="123" t="s">
        <v>1476</v>
      </c>
      <c r="B2" s="123"/>
      <c r="C2" s="123"/>
      <c r="D2" s="123"/>
      <c r="E2" s="123"/>
      <c r="F2" s="123"/>
      <c r="G2" s="123"/>
      <c r="H2" s="123"/>
      <c r="I2" s="123"/>
      <c r="J2" s="123"/>
      <c r="K2" s="123"/>
      <c r="L2" s="123"/>
      <c r="M2" s="123"/>
      <c r="N2" s="123"/>
      <c r="O2" s="123"/>
    </row>
    <row r="3" spans="1:15" ht="21.75" customHeight="1" x14ac:dyDescent="0.45">
      <c r="A3" s="124" t="s">
        <v>1477</v>
      </c>
      <c r="B3" s="124"/>
      <c r="C3" s="124"/>
      <c r="D3" s="124"/>
      <c r="E3" s="124"/>
      <c r="F3" s="124"/>
      <c r="G3" s="124"/>
      <c r="H3" s="124"/>
      <c r="I3" s="124"/>
      <c r="J3" s="124"/>
      <c r="K3" s="124"/>
      <c r="L3" s="124"/>
      <c r="M3" s="124"/>
      <c r="N3" s="124"/>
      <c r="O3" s="124"/>
    </row>
    <row r="5" spans="1:15" ht="31.5" customHeight="1" x14ac:dyDescent="0.45">
      <c r="A5" s="32" t="s">
        <v>1386</v>
      </c>
      <c r="B5" s="32" t="s">
        <v>1478</v>
      </c>
      <c r="C5" s="32" t="s">
        <v>1479</v>
      </c>
      <c r="D5" s="32" t="s">
        <v>1480</v>
      </c>
      <c r="E5" s="32" t="s">
        <v>1481</v>
      </c>
      <c r="F5" s="32" t="s">
        <v>1482</v>
      </c>
      <c r="G5" s="32" t="s">
        <v>1483</v>
      </c>
      <c r="H5" s="32" t="s">
        <v>1484</v>
      </c>
      <c r="I5" s="32" t="s">
        <v>1485</v>
      </c>
      <c r="J5" s="32" t="s">
        <v>1486</v>
      </c>
      <c r="K5" s="32" t="s">
        <v>1487</v>
      </c>
      <c r="L5" s="32" t="s">
        <v>1488</v>
      </c>
      <c r="M5" s="32" t="s">
        <v>648</v>
      </c>
      <c r="N5" s="32" t="s">
        <v>1372</v>
      </c>
      <c r="O5" s="32" t="s">
        <v>150</v>
      </c>
    </row>
    <row r="6" spans="1:15" ht="23.25" x14ac:dyDescent="0.45">
      <c r="A6" s="75" t="s">
        <v>1489</v>
      </c>
      <c r="B6" s="75" t="s">
        <v>1490</v>
      </c>
      <c r="C6" s="75" t="s">
        <v>1491</v>
      </c>
      <c r="D6" s="75" t="s">
        <v>1492</v>
      </c>
      <c r="E6" s="75" t="s">
        <v>1493</v>
      </c>
      <c r="F6" s="75" t="s">
        <v>1494</v>
      </c>
      <c r="G6" s="75" t="s">
        <v>1495</v>
      </c>
      <c r="H6" s="75" t="s">
        <v>155</v>
      </c>
      <c r="I6" s="75" t="s">
        <v>155</v>
      </c>
      <c r="J6" s="75" t="s">
        <v>1496</v>
      </c>
      <c r="K6" s="75" t="s">
        <v>1497</v>
      </c>
      <c r="L6" s="75" t="s">
        <v>1376</v>
      </c>
      <c r="M6" s="75" t="s">
        <v>483</v>
      </c>
      <c r="N6" s="78"/>
      <c r="O6" s="76" t="str">
        <f t="shared" ref="O6:O37" ca="1" si="0">IF($N6="","",IF($N6&lt;TODAY(),"OVERDUE",IF($N6-TODAY()&lt;=30,"Due soon","On track")))</f>
        <v/>
      </c>
    </row>
    <row r="7" spans="1:15" x14ac:dyDescent="0.45">
      <c r="A7" s="63"/>
      <c r="B7" s="63"/>
      <c r="C7" s="63"/>
      <c r="D7" s="63"/>
      <c r="E7" s="63"/>
      <c r="F7" s="63"/>
      <c r="G7" s="63"/>
      <c r="H7" s="63"/>
      <c r="I7" s="63"/>
      <c r="J7" s="63"/>
      <c r="K7" s="63"/>
      <c r="L7" s="63"/>
      <c r="M7" s="63"/>
      <c r="N7" s="78"/>
      <c r="O7" s="76" t="str">
        <f t="shared" ca="1" si="0"/>
        <v/>
      </c>
    </row>
    <row r="8" spans="1:15" x14ac:dyDescent="0.45">
      <c r="A8" s="63"/>
      <c r="B8" s="63"/>
      <c r="C8" s="63"/>
      <c r="D8" s="63"/>
      <c r="E8" s="63"/>
      <c r="F8" s="63"/>
      <c r="G8" s="63"/>
      <c r="H8" s="63"/>
      <c r="I8" s="63"/>
      <c r="J8" s="63"/>
      <c r="K8" s="63"/>
      <c r="L8" s="63"/>
      <c r="M8" s="63"/>
      <c r="N8" s="78"/>
      <c r="O8" s="76" t="str">
        <f t="shared" ca="1" si="0"/>
        <v/>
      </c>
    </row>
    <row r="9" spans="1:15" x14ac:dyDescent="0.45">
      <c r="A9" s="63"/>
      <c r="B9" s="63"/>
      <c r="C9" s="63"/>
      <c r="D9" s="63"/>
      <c r="E9" s="63"/>
      <c r="F9" s="63"/>
      <c r="G9" s="63"/>
      <c r="H9" s="63"/>
      <c r="I9" s="63"/>
      <c r="J9" s="63"/>
      <c r="K9" s="63"/>
      <c r="L9" s="63"/>
      <c r="M9" s="63"/>
      <c r="N9" s="78"/>
      <c r="O9" s="76" t="str">
        <f t="shared" ca="1" si="0"/>
        <v/>
      </c>
    </row>
    <row r="10" spans="1:15" x14ac:dyDescent="0.45">
      <c r="A10" s="63"/>
      <c r="B10" s="63"/>
      <c r="C10" s="63"/>
      <c r="D10" s="63"/>
      <c r="E10" s="63"/>
      <c r="F10" s="63"/>
      <c r="G10" s="63"/>
      <c r="H10" s="63"/>
      <c r="I10" s="63"/>
      <c r="J10" s="63"/>
      <c r="K10" s="63"/>
      <c r="L10" s="63"/>
      <c r="M10" s="63"/>
      <c r="N10" s="78"/>
      <c r="O10" s="76" t="str">
        <f t="shared" ca="1" si="0"/>
        <v/>
      </c>
    </row>
    <row r="11" spans="1:15" x14ac:dyDescent="0.45">
      <c r="A11" s="63"/>
      <c r="B11" s="63"/>
      <c r="C11" s="63"/>
      <c r="D11" s="63"/>
      <c r="E11" s="63"/>
      <c r="F11" s="63"/>
      <c r="G11" s="63"/>
      <c r="H11" s="63"/>
      <c r="I11" s="63"/>
      <c r="J11" s="63"/>
      <c r="K11" s="63"/>
      <c r="L11" s="63"/>
      <c r="M11" s="63"/>
      <c r="N11" s="78"/>
      <c r="O11" s="76" t="str">
        <f t="shared" ca="1" si="0"/>
        <v/>
      </c>
    </row>
    <row r="12" spans="1:15" x14ac:dyDescent="0.45">
      <c r="A12" s="63"/>
      <c r="B12" s="63"/>
      <c r="C12" s="63"/>
      <c r="D12" s="63"/>
      <c r="E12" s="63"/>
      <c r="F12" s="63"/>
      <c r="G12" s="63"/>
      <c r="H12" s="63"/>
      <c r="I12" s="63"/>
      <c r="J12" s="63"/>
      <c r="K12" s="63"/>
      <c r="L12" s="63"/>
      <c r="M12" s="63"/>
      <c r="N12" s="78"/>
      <c r="O12" s="76" t="str">
        <f t="shared" ca="1" si="0"/>
        <v/>
      </c>
    </row>
    <row r="13" spans="1:15" x14ac:dyDescent="0.45">
      <c r="A13" s="63"/>
      <c r="B13" s="63"/>
      <c r="C13" s="63"/>
      <c r="D13" s="63"/>
      <c r="E13" s="63"/>
      <c r="F13" s="63"/>
      <c r="G13" s="63"/>
      <c r="H13" s="63"/>
      <c r="I13" s="63"/>
      <c r="J13" s="63"/>
      <c r="K13" s="63"/>
      <c r="L13" s="63"/>
      <c r="M13" s="63"/>
      <c r="N13" s="78"/>
      <c r="O13" s="76" t="str">
        <f t="shared" ca="1" si="0"/>
        <v/>
      </c>
    </row>
    <row r="14" spans="1:15" x14ac:dyDescent="0.45">
      <c r="A14" s="63"/>
      <c r="B14" s="63"/>
      <c r="C14" s="63"/>
      <c r="D14" s="63"/>
      <c r="E14" s="63"/>
      <c r="F14" s="63"/>
      <c r="G14" s="63"/>
      <c r="H14" s="63"/>
      <c r="I14" s="63"/>
      <c r="J14" s="63"/>
      <c r="K14" s="63"/>
      <c r="L14" s="63"/>
      <c r="M14" s="63"/>
      <c r="N14" s="78"/>
      <c r="O14" s="76" t="str">
        <f t="shared" ca="1" si="0"/>
        <v/>
      </c>
    </row>
    <row r="15" spans="1:15" x14ac:dyDescent="0.45">
      <c r="A15" s="63"/>
      <c r="B15" s="63"/>
      <c r="C15" s="63"/>
      <c r="D15" s="63"/>
      <c r="E15" s="63"/>
      <c r="F15" s="63"/>
      <c r="G15" s="63"/>
      <c r="H15" s="63"/>
      <c r="I15" s="63"/>
      <c r="J15" s="63"/>
      <c r="K15" s="63"/>
      <c r="L15" s="63"/>
      <c r="M15" s="63"/>
      <c r="N15" s="78"/>
      <c r="O15" s="76" t="str">
        <f t="shared" ca="1" si="0"/>
        <v/>
      </c>
    </row>
    <row r="16" spans="1:15" x14ac:dyDescent="0.45">
      <c r="A16" s="63"/>
      <c r="B16" s="63"/>
      <c r="C16" s="63"/>
      <c r="D16" s="63"/>
      <c r="E16" s="63"/>
      <c r="F16" s="63"/>
      <c r="G16" s="63"/>
      <c r="H16" s="63"/>
      <c r="I16" s="63"/>
      <c r="J16" s="63"/>
      <c r="K16" s="63"/>
      <c r="L16" s="63"/>
      <c r="M16" s="63"/>
      <c r="N16" s="78"/>
      <c r="O16" s="76" t="str">
        <f t="shared" ca="1" si="0"/>
        <v/>
      </c>
    </row>
    <row r="17" spans="1:15" x14ac:dyDescent="0.45">
      <c r="A17" s="63"/>
      <c r="B17" s="63"/>
      <c r="C17" s="63"/>
      <c r="D17" s="63"/>
      <c r="E17" s="63"/>
      <c r="F17" s="63"/>
      <c r="G17" s="63"/>
      <c r="H17" s="63"/>
      <c r="I17" s="63"/>
      <c r="J17" s="63"/>
      <c r="K17" s="63"/>
      <c r="L17" s="63"/>
      <c r="M17" s="63"/>
      <c r="N17" s="78"/>
      <c r="O17" s="76" t="str">
        <f t="shared" ca="1" si="0"/>
        <v/>
      </c>
    </row>
    <row r="18" spans="1:15" x14ac:dyDescent="0.45">
      <c r="A18" s="63"/>
      <c r="B18" s="63"/>
      <c r="C18" s="63"/>
      <c r="D18" s="63"/>
      <c r="E18" s="63"/>
      <c r="F18" s="63"/>
      <c r="G18" s="63"/>
      <c r="H18" s="63"/>
      <c r="I18" s="63"/>
      <c r="J18" s="63"/>
      <c r="K18" s="63"/>
      <c r="L18" s="63"/>
      <c r="M18" s="63"/>
      <c r="N18" s="78"/>
      <c r="O18" s="76" t="str">
        <f t="shared" ca="1" si="0"/>
        <v/>
      </c>
    </row>
    <row r="19" spans="1:15" x14ac:dyDescent="0.45">
      <c r="A19" s="63"/>
      <c r="B19" s="63"/>
      <c r="C19" s="63"/>
      <c r="D19" s="63"/>
      <c r="E19" s="63"/>
      <c r="F19" s="63"/>
      <c r="G19" s="63"/>
      <c r="H19" s="63"/>
      <c r="I19" s="63"/>
      <c r="J19" s="63"/>
      <c r="K19" s="63"/>
      <c r="L19" s="63"/>
      <c r="M19" s="63"/>
      <c r="N19" s="78"/>
      <c r="O19" s="76" t="str">
        <f t="shared" ca="1" si="0"/>
        <v/>
      </c>
    </row>
    <row r="20" spans="1:15" x14ac:dyDescent="0.45">
      <c r="A20" s="63"/>
      <c r="B20" s="63"/>
      <c r="C20" s="63"/>
      <c r="D20" s="63"/>
      <c r="E20" s="63"/>
      <c r="F20" s="63"/>
      <c r="G20" s="63"/>
      <c r="H20" s="63"/>
      <c r="I20" s="63"/>
      <c r="J20" s="63"/>
      <c r="K20" s="63"/>
      <c r="L20" s="63"/>
      <c r="M20" s="63"/>
      <c r="N20" s="78"/>
      <c r="O20" s="76" t="str">
        <f t="shared" ca="1" si="0"/>
        <v/>
      </c>
    </row>
    <row r="21" spans="1:15" x14ac:dyDescent="0.45">
      <c r="A21" s="63"/>
      <c r="B21" s="63"/>
      <c r="C21" s="63"/>
      <c r="D21" s="63"/>
      <c r="E21" s="63"/>
      <c r="F21" s="63"/>
      <c r="G21" s="63"/>
      <c r="H21" s="63"/>
      <c r="I21" s="63"/>
      <c r="J21" s="63"/>
      <c r="K21" s="63"/>
      <c r="L21" s="63"/>
      <c r="M21" s="63"/>
      <c r="N21" s="78"/>
      <c r="O21" s="76" t="str">
        <f t="shared" ca="1" si="0"/>
        <v/>
      </c>
    </row>
    <row r="22" spans="1:15" x14ac:dyDescent="0.45">
      <c r="A22" s="63"/>
      <c r="B22" s="63"/>
      <c r="C22" s="63"/>
      <c r="D22" s="63"/>
      <c r="E22" s="63"/>
      <c r="F22" s="63"/>
      <c r="G22" s="63"/>
      <c r="H22" s="63"/>
      <c r="I22" s="63"/>
      <c r="J22" s="63"/>
      <c r="K22" s="63"/>
      <c r="L22" s="63"/>
      <c r="M22" s="63"/>
      <c r="N22" s="78"/>
      <c r="O22" s="76" t="str">
        <f t="shared" ca="1" si="0"/>
        <v/>
      </c>
    </row>
    <row r="23" spans="1:15" x14ac:dyDescent="0.45">
      <c r="A23" s="63"/>
      <c r="B23" s="63"/>
      <c r="C23" s="63"/>
      <c r="D23" s="63"/>
      <c r="E23" s="63"/>
      <c r="F23" s="63"/>
      <c r="G23" s="63"/>
      <c r="H23" s="63"/>
      <c r="I23" s="63"/>
      <c r="J23" s="63"/>
      <c r="K23" s="63"/>
      <c r="L23" s="63"/>
      <c r="M23" s="63"/>
      <c r="N23" s="78"/>
      <c r="O23" s="76" t="str">
        <f t="shared" ca="1" si="0"/>
        <v/>
      </c>
    </row>
    <row r="24" spans="1:15" x14ac:dyDescent="0.45">
      <c r="A24" s="63"/>
      <c r="B24" s="63"/>
      <c r="C24" s="63"/>
      <c r="D24" s="63"/>
      <c r="E24" s="63"/>
      <c r="F24" s="63"/>
      <c r="G24" s="63"/>
      <c r="H24" s="63"/>
      <c r="I24" s="63"/>
      <c r="J24" s="63"/>
      <c r="K24" s="63"/>
      <c r="L24" s="63"/>
      <c r="M24" s="63"/>
      <c r="N24" s="78"/>
      <c r="O24" s="76" t="str">
        <f t="shared" ca="1" si="0"/>
        <v/>
      </c>
    </row>
    <row r="25" spans="1:15" x14ac:dyDescent="0.45">
      <c r="A25" s="63"/>
      <c r="B25" s="63"/>
      <c r="C25" s="63"/>
      <c r="D25" s="63"/>
      <c r="E25" s="63"/>
      <c r="F25" s="63"/>
      <c r="G25" s="63"/>
      <c r="H25" s="63"/>
      <c r="I25" s="63"/>
      <c r="J25" s="63"/>
      <c r="K25" s="63"/>
      <c r="L25" s="63"/>
      <c r="M25" s="63"/>
      <c r="N25" s="78"/>
      <c r="O25" s="76" t="str">
        <f t="shared" ca="1" si="0"/>
        <v/>
      </c>
    </row>
    <row r="26" spans="1:15" x14ac:dyDescent="0.45">
      <c r="A26" s="63"/>
      <c r="B26" s="63"/>
      <c r="C26" s="63"/>
      <c r="D26" s="63"/>
      <c r="E26" s="63"/>
      <c r="F26" s="63"/>
      <c r="G26" s="63"/>
      <c r="H26" s="63"/>
      <c r="I26" s="63"/>
      <c r="J26" s="63"/>
      <c r="K26" s="63"/>
      <c r="L26" s="63"/>
      <c r="M26" s="63"/>
      <c r="N26" s="78"/>
      <c r="O26" s="76" t="str">
        <f t="shared" ca="1" si="0"/>
        <v/>
      </c>
    </row>
    <row r="27" spans="1:15" x14ac:dyDescent="0.45">
      <c r="A27" s="63"/>
      <c r="B27" s="63"/>
      <c r="C27" s="63"/>
      <c r="D27" s="63"/>
      <c r="E27" s="63"/>
      <c r="F27" s="63"/>
      <c r="G27" s="63"/>
      <c r="H27" s="63"/>
      <c r="I27" s="63"/>
      <c r="J27" s="63"/>
      <c r="K27" s="63"/>
      <c r="L27" s="63"/>
      <c r="M27" s="63"/>
      <c r="N27" s="78"/>
      <c r="O27" s="76" t="str">
        <f t="shared" ca="1" si="0"/>
        <v/>
      </c>
    </row>
    <row r="28" spans="1:15" x14ac:dyDescent="0.45">
      <c r="A28" s="63"/>
      <c r="B28" s="63"/>
      <c r="C28" s="63"/>
      <c r="D28" s="63"/>
      <c r="E28" s="63"/>
      <c r="F28" s="63"/>
      <c r="G28" s="63"/>
      <c r="H28" s="63"/>
      <c r="I28" s="63"/>
      <c r="J28" s="63"/>
      <c r="K28" s="63"/>
      <c r="L28" s="63"/>
      <c r="M28" s="63"/>
      <c r="N28" s="78"/>
      <c r="O28" s="76" t="str">
        <f t="shared" ca="1" si="0"/>
        <v/>
      </c>
    </row>
    <row r="29" spans="1:15" x14ac:dyDescent="0.45">
      <c r="A29" s="63"/>
      <c r="B29" s="63"/>
      <c r="C29" s="63"/>
      <c r="D29" s="63"/>
      <c r="E29" s="63"/>
      <c r="F29" s="63"/>
      <c r="G29" s="63"/>
      <c r="H29" s="63"/>
      <c r="I29" s="63"/>
      <c r="J29" s="63"/>
      <c r="K29" s="63"/>
      <c r="L29" s="63"/>
      <c r="M29" s="63"/>
      <c r="N29" s="78"/>
      <c r="O29" s="76" t="str">
        <f t="shared" ca="1" si="0"/>
        <v/>
      </c>
    </row>
    <row r="30" spans="1:15" x14ac:dyDescent="0.45">
      <c r="A30" s="63"/>
      <c r="B30" s="63"/>
      <c r="C30" s="63"/>
      <c r="D30" s="63"/>
      <c r="E30" s="63"/>
      <c r="F30" s="63"/>
      <c r="G30" s="63"/>
      <c r="H30" s="63"/>
      <c r="I30" s="63"/>
      <c r="J30" s="63"/>
      <c r="K30" s="63"/>
      <c r="L30" s="63"/>
      <c r="M30" s="63"/>
      <c r="N30" s="78"/>
      <c r="O30" s="76" t="str">
        <f t="shared" ca="1" si="0"/>
        <v/>
      </c>
    </row>
    <row r="31" spans="1:15" x14ac:dyDescent="0.45">
      <c r="A31" s="63"/>
      <c r="B31" s="63"/>
      <c r="C31" s="63"/>
      <c r="D31" s="63"/>
      <c r="E31" s="63"/>
      <c r="F31" s="63"/>
      <c r="G31" s="63"/>
      <c r="H31" s="63"/>
      <c r="I31" s="63"/>
      <c r="J31" s="63"/>
      <c r="K31" s="63"/>
      <c r="L31" s="63"/>
      <c r="M31" s="63"/>
      <c r="N31" s="78"/>
      <c r="O31" s="76" t="str">
        <f t="shared" ca="1" si="0"/>
        <v/>
      </c>
    </row>
    <row r="32" spans="1:15" x14ac:dyDescent="0.45">
      <c r="A32" s="63"/>
      <c r="B32" s="63"/>
      <c r="C32" s="63"/>
      <c r="D32" s="63"/>
      <c r="E32" s="63"/>
      <c r="F32" s="63"/>
      <c r="G32" s="63"/>
      <c r="H32" s="63"/>
      <c r="I32" s="63"/>
      <c r="J32" s="63"/>
      <c r="K32" s="63"/>
      <c r="L32" s="63"/>
      <c r="M32" s="63"/>
      <c r="N32" s="78"/>
      <c r="O32" s="76" t="str">
        <f t="shared" ca="1" si="0"/>
        <v/>
      </c>
    </row>
    <row r="33" spans="1:15" x14ac:dyDescent="0.45">
      <c r="A33" s="63"/>
      <c r="B33" s="63"/>
      <c r="C33" s="63"/>
      <c r="D33" s="63"/>
      <c r="E33" s="63"/>
      <c r="F33" s="63"/>
      <c r="G33" s="63"/>
      <c r="H33" s="63"/>
      <c r="I33" s="63"/>
      <c r="J33" s="63"/>
      <c r="K33" s="63"/>
      <c r="L33" s="63"/>
      <c r="M33" s="63"/>
      <c r="N33" s="78"/>
      <c r="O33" s="76" t="str">
        <f t="shared" ca="1" si="0"/>
        <v/>
      </c>
    </row>
    <row r="34" spans="1:15" x14ac:dyDescent="0.45">
      <c r="A34" s="63"/>
      <c r="B34" s="63"/>
      <c r="C34" s="63"/>
      <c r="D34" s="63"/>
      <c r="E34" s="63"/>
      <c r="F34" s="63"/>
      <c r="G34" s="63"/>
      <c r="H34" s="63"/>
      <c r="I34" s="63"/>
      <c r="J34" s="63"/>
      <c r="K34" s="63"/>
      <c r="L34" s="63"/>
      <c r="M34" s="63"/>
      <c r="N34" s="78"/>
      <c r="O34" s="76" t="str">
        <f t="shared" ca="1" si="0"/>
        <v/>
      </c>
    </row>
    <row r="35" spans="1:15" x14ac:dyDescent="0.45">
      <c r="A35" s="63"/>
      <c r="B35" s="63"/>
      <c r="C35" s="63"/>
      <c r="D35" s="63"/>
      <c r="E35" s="63"/>
      <c r="F35" s="63"/>
      <c r="G35" s="63"/>
      <c r="H35" s="63"/>
      <c r="I35" s="63"/>
      <c r="J35" s="63"/>
      <c r="K35" s="63"/>
      <c r="L35" s="63"/>
      <c r="M35" s="63"/>
      <c r="N35" s="78"/>
      <c r="O35" s="76" t="str">
        <f t="shared" ca="1" si="0"/>
        <v/>
      </c>
    </row>
    <row r="36" spans="1:15" x14ac:dyDescent="0.45">
      <c r="A36" s="63"/>
      <c r="B36" s="63"/>
      <c r="C36" s="63"/>
      <c r="D36" s="63"/>
      <c r="E36" s="63"/>
      <c r="F36" s="63"/>
      <c r="G36" s="63"/>
      <c r="H36" s="63"/>
      <c r="I36" s="63"/>
      <c r="J36" s="63"/>
      <c r="K36" s="63"/>
      <c r="L36" s="63"/>
      <c r="M36" s="63"/>
      <c r="N36" s="78"/>
      <c r="O36" s="76" t="str">
        <f t="shared" ca="1" si="0"/>
        <v/>
      </c>
    </row>
    <row r="37" spans="1:15" x14ac:dyDescent="0.45">
      <c r="A37" s="63"/>
      <c r="B37" s="63"/>
      <c r="C37" s="63"/>
      <c r="D37" s="63"/>
      <c r="E37" s="63"/>
      <c r="F37" s="63"/>
      <c r="G37" s="63"/>
      <c r="H37" s="63"/>
      <c r="I37" s="63"/>
      <c r="J37" s="63"/>
      <c r="K37" s="63"/>
      <c r="L37" s="63"/>
      <c r="M37" s="63"/>
      <c r="N37" s="78"/>
      <c r="O37" s="76" t="str">
        <f t="shared" ca="1" si="0"/>
        <v/>
      </c>
    </row>
    <row r="38" spans="1:15" x14ac:dyDescent="0.45">
      <c r="A38" s="63"/>
      <c r="B38" s="63"/>
      <c r="C38" s="63"/>
      <c r="D38" s="63"/>
      <c r="E38" s="63"/>
      <c r="F38" s="63"/>
      <c r="G38" s="63"/>
      <c r="H38" s="63"/>
      <c r="I38" s="63"/>
      <c r="J38" s="63"/>
      <c r="K38" s="63"/>
      <c r="L38" s="63"/>
      <c r="M38" s="63"/>
      <c r="N38" s="78"/>
      <c r="O38" s="76" t="str">
        <f t="shared" ref="O38:O55" ca="1" si="1">IF($N38="","",IF($N38&lt;TODAY(),"OVERDUE",IF($N38-TODAY()&lt;=30,"Due soon","On track")))</f>
        <v/>
      </c>
    </row>
    <row r="39" spans="1:15" x14ac:dyDescent="0.45">
      <c r="A39" s="63"/>
      <c r="B39" s="63"/>
      <c r="C39" s="63"/>
      <c r="D39" s="63"/>
      <c r="E39" s="63"/>
      <c r="F39" s="63"/>
      <c r="G39" s="63"/>
      <c r="H39" s="63"/>
      <c r="I39" s="63"/>
      <c r="J39" s="63"/>
      <c r="K39" s="63"/>
      <c r="L39" s="63"/>
      <c r="M39" s="63"/>
      <c r="N39" s="78"/>
      <c r="O39" s="76" t="str">
        <f t="shared" ca="1" si="1"/>
        <v/>
      </c>
    </row>
    <row r="40" spans="1:15" x14ac:dyDescent="0.45">
      <c r="A40" s="63"/>
      <c r="B40" s="63"/>
      <c r="C40" s="63"/>
      <c r="D40" s="63"/>
      <c r="E40" s="63"/>
      <c r="F40" s="63"/>
      <c r="G40" s="63"/>
      <c r="H40" s="63"/>
      <c r="I40" s="63"/>
      <c r="J40" s="63"/>
      <c r="K40" s="63"/>
      <c r="L40" s="63"/>
      <c r="M40" s="63"/>
      <c r="N40" s="78"/>
      <c r="O40" s="76" t="str">
        <f t="shared" ca="1" si="1"/>
        <v/>
      </c>
    </row>
    <row r="41" spans="1:15" x14ac:dyDescent="0.45">
      <c r="A41" s="63"/>
      <c r="B41" s="63"/>
      <c r="C41" s="63"/>
      <c r="D41" s="63"/>
      <c r="E41" s="63"/>
      <c r="F41" s="63"/>
      <c r="G41" s="63"/>
      <c r="H41" s="63"/>
      <c r="I41" s="63"/>
      <c r="J41" s="63"/>
      <c r="K41" s="63"/>
      <c r="L41" s="63"/>
      <c r="M41" s="63"/>
      <c r="N41" s="78"/>
      <c r="O41" s="76" t="str">
        <f t="shared" ca="1" si="1"/>
        <v/>
      </c>
    </row>
    <row r="42" spans="1:15" x14ac:dyDescent="0.45">
      <c r="A42" s="63"/>
      <c r="B42" s="63"/>
      <c r="C42" s="63"/>
      <c r="D42" s="63"/>
      <c r="E42" s="63"/>
      <c r="F42" s="63"/>
      <c r="G42" s="63"/>
      <c r="H42" s="63"/>
      <c r="I42" s="63"/>
      <c r="J42" s="63"/>
      <c r="K42" s="63"/>
      <c r="L42" s="63"/>
      <c r="M42" s="63"/>
      <c r="N42" s="78"/>
      <c r="O42" s="76" t="str">
        <f t="shared" ca="1" si="1"/>
        <v/>
      </c>
    </row>
    <row r="43" spans="1:15" x14ac:dyDescent="0.45">
      <c r="A43" s="63"/>
      <c r="B43" s="63"/>
      <c r="C43" s="63"/>
      <c r="D43" s="63"/>
      <c r="E43" s="63"/>
      <c r="F43" s="63"/>
      <c r="G43" s="63"/>
      <c r="H43" s="63"/>
      <c r="I43" s="63"/>
      <c r="J43" s="63"/>
      <c r="K43" s="63"/>
      <c r="L43" s="63"/>
      <c r="M43" s="63"/>
      <c r="N43" s="78"/>
      <c r="O43" s="76" t="str">
        <f t="shared" ca="1" si="1"/>
        <v/>
      </c>
    </row>
    <row r="44" spans="1:15" x14ac:dyDescent="0.45">
      <c r="A44" s="63"/>
      <c r="B44" s="63"/>
      <c r="C44" s="63"/>
      <c r="D44" s="63"/>
      <c r="E44" s="63"/>
      <c r="F44" s="63"/>
      <c r="G44" s="63"/>
      <c r="H44" s="63"/>
      <c r="I44" s="63"/>
      <c r="J44" s="63"/>
      <c r="K44" s="63"/>
      <c r="L44" s="63"/>
      <c r="M44" s="63"/>
      <c r="N44" s="78"/>
      <c r="O44" s="76" t="str">
        <f t="shared" ca="1" si="1"/>
        <v/>
      </c>
    </row>
    <row r="45" spans="1:15" x14ac:dyDescent="0.45">
      <c r="A45" s="63"/>
      <c r="B45" s="63"/>
      <c r="C45" s="63"/>
      <c r="D45" s="63"/>
      <c r="E45" s="63"/>
      <c r="F45" s="63"/>
      <c r="G45" s="63"/>
      <c r="H45" s="63"/>
      <c r="I45" s="63"/>
      <c r="J45" s="63"/>
      <c r="K45" s="63"/>
      <c r="L45" s="63"/>
      <c r="M45" s="63"/>
      <c r="N45" s="78"/>
      <c r="O45" s="76" t="str">
        <f t="shared" ca="1" si="1"/>
        <v/>
      </c>
    </row>
    <row r="46" spans="1:15" x14ac:dyDescent="0.45">
      <c r="A46" s="63"/>
      <c r="B46" s="63"/>
      <c r="C46" s="63"/>
      <c r="D46" s="63"/>
      <c r="E46" s="63"/>
      <c r="F46" s="63"/>
      <c r="G46" s="63"/>
      <c r="H46" s="63"/>
      <c r="I46" s="63"/>
      <c r="J46" s="63"/>
      <c r="K46" s="63"/>
      <c r="L46" s="63"/>
      <c r="M46" s="63"/>
      <c r="N46" s="78"/>
      <c r="O46" s="76" t="str">
        <f t="shared" ca="1" si="1"/>
        <v/>
      </c>
    </row>
    <row r="47" spans="1:15" x14ac:dyDescent="0.45">
      <c r="A47" s="63"/>
      <c r="B47" s="63"/>
      <c r="C47" s="63"/>
      <c r="D47" s="63"/>
      <c r="E47" s="63"/>
      <c r="F47" s="63"/>
      <c r="G47" s="63"/>
      <c r="H47" s="63"/>
      <c r="I47" s="63"/>
      <c r="J47" s="63"/>
      <c r="K47" s="63"/>
      <c r="L47" s="63"/>
      <c r="M47" s="63"/>
      <c r="N47" s="78"/>
      <c r="O47" s="76" t="str">
        <f t="shared" ca="1" si="1"/>
        <v/>
      </c>
    </row>
    <row r="48" spans="1:15" x14ac:dyDescent="0.45">
      <c r="A48" s="63"/>
      <c r="B48" s="63"/>
      <c r="C48" s="63"/>
      <c r="D48" s="63"/>
      <c r="E48" s="63"/>
      <c r="F48" s="63"/>
      <c r="G48" s="63"/>
      <c r="H48" s="63"/>
      <c r="I48" s="63"/>
      <c r="J48" s="63"/>
      <c r="K48" s="63"/>
      <c r="L48" s="63"/>
      <c r="M48" s="63"/>
      <c r="N48" s="78"/>
      <c r="O48" s="76" t="str">
        <f t="shared" ca="1" si="1"/>
        <v/>
      </c>
    </row>
    <row r="49" spans="1:15" x14ac:dyDescent="0.45">
      <c r="A49" s="63"/>
      <c r="B49" s="63"/>
      <c r="C49" s="63"/>
      <c r="D49" s="63"/>
      <c r="E49" s="63"/>
      <c r="F49" s="63"/>
      <c r="G49" s="63"/>
      <c r="H49" s="63"/>
      <c r="I49" s="63"/>
      <c r="J49" s="63"/>
      <c r="K49" s="63"/>
      <c r="L49" s="63"/>
      <c r="M49" s="63"/>
      <c r="N49" s="78"/>
      <c r="O49" s="76" t="str">
        <f t="shared" ca="1" si="1"/>
        <v/>
      </c>
    </row>
    <row r="50" spans="1:15" x14ac:dyDescent="0.45">
      <c r="A50" s="63"/>
      <c r="B50" s="63"/>
      <c r="C50" s="63"/>
      <c r="D50" s="63"/>
      <c r="E50" s="63"/>
      <c r="F50" s="63"/>
      <c r="G50" s="63"/>
      <c r="H50" s="63"/>
      <c r="I50" s="63"/>
      <c r="J50" s="63"/>
      <c r="K50" s="63"/>
      <c r="L50" s="63"/>
      <c r="M50" s="63"/>
      <c r="N50" s="78"/>
      <c r="O50" s="76" t="str">
        <f t="shared" ca="1" si="1"/>
        <v/>
      </c>
    </row>
    <row r="51" spans="1:15" x14ac:dyDescent="0.45">
      <c r="A51" s="63"/>
      <c r="B51" s="63"/>
      <c r="C51" s="63"/>
      <c r="D51" s="63"/>
      <c r="E51" s="63"/>
      <c r="F51" s="63"/>
      <c r="G51" s="63"/>
      <c r="H51" s="63"/>
      <c r="I51" s="63"/>
      <c r="J51" s="63"/>
      <c r="K51" s="63"/>
      <c r="L51" s="63"/>
      <c r="M51" s="63"/>
      <c r="N51" s="78"/>
      <c r="O51" s="76" t="str">
        <f t="shared" ca="1" si="1"/>
        <v/>
      </c>
    </row>
    <row r="52" spans="1:15" x14ac:dyDescent="0.45">
      <c r="A52" s="63"/>
      <c r="B52" s="63"/>
      <c r="C52" s="63"/>
      <c r="D52" s="63"/>
      <c r="E52" s="63"/>
      <c r="F52" s="63"/>
      <c r="G52" s="63"/>
      <c r="H52" s="63"/>
      <c r="I52" s="63"/>
      <c r="J52" s="63"/>
      <c r="K52" s="63"/>
      <c r="L52" s="63"/>
      <c r="M52" s="63"/>
      <c r="N52" s="78"/>
      <c r="O52" s="76" t="str">
        <f t="shared" ca="1" si="1"/>
        <v/>
      </c>
    </row>
    <row r="53" spans="1:15" x14ac:dyDescent="0.45">
      <c r="A53" s="63"/>
      <c r="B53" s="63"/>
      <c r="C53" s="63"/>
      <c r="D53" s="63"/>
      <c r="E53" s="63"/>
      <c r="F53" s="63"/>
      <c r="G53" s="63"/>
      <c r="H53" s="63"/>
      <c r="I53" s="63"/>
      <c r="J53" s="63"/>
      <c r="K53" s="63"/>
      <c r="L53" s="63"/>
      <c r="M53" s="63"/>
      <c r="N53" s="78"/>
      <c r="O53" s="76" t="str">
        <f t="shared" ca="1" si="1"/>
        <v/>
      </c>
    </row>
    <row r="54" spans="1:15" x14ac:dyDescent="0.45">
      <c r="A54" s="63"/>
      <c r="B54" s="63"/>
      <c r="C54" s="63"/>
      <c r="D54" s="63"/>
      <c r="E54" s="63"/>
      <c r="F54" s="63"/>
      <c r="G54" s="63"/>
      <c r="H54" s="63"/>
      <c r="I54" s="63"/>
      <c r="J54" s="63"/>
      <c r="K54" s="63"/>
      <c r="L54" s="63"/>
      <c r="M54" s="63"/>
      <c r="N54" s="78"/>
      <c r="O54" s="76" t="str">
        <f t="shared" ca="1" si="1"/>
        <v/>
      </c>
    </row>
    <row r="55" spans="1:15" x14ac:dyDescent="0.45">
      <c r="A55" s="63"/>
      <c r="B55" s="63"/>
      <c r="C55" s="63"/>
      <c r="D55" s="63"/>
      <c r="E55" s="63"/>
      <c r="F55" s="63"/>
      <c r="G55" s="63"/>
      <c r="H55" s="63"/>
      <c r="I55" s="63"/>
      <c r="J55" s="63"/>
      <c r="K55" s="63"/>
      <c r="L55" s="63"/>
      <c r="M55" s="63"/>
      <c r="N55" s="78"/>
      <c r="O55" s="76" t="str">
        <f t="shared" ca="1" si="1"/>
        <v/>
      </c>
    </row>
  </sheetData>
  <autoFilter ref="A5:O55" xr:uid="{00000000-0009-0000-0000-000010000000}"/>
  <mergeCells count="3">
    <mergeCell ref="A1:O1"/>
    <mergeCell ref="A2:O2"/>
    <mergeCell ref="A3:O3"/>
  </mergeCells>
  <conditionalFormatting sqref="H6:J55">
    <cfRule type="cellIs" dxfId="13" priority="5" operator="equal">
      <formula>"No"</formula>
    </cfRule>
  </conditionalFormatting>
  <conditionalFormatting sqref="O6:O55">
    <cfRule type="cellIs" dxfId="12" priority="2" operator="equal">
      <formula>"OVERDUE"</formula>
    </cfRule>
    <cfRule type="cellIs" dxfId="11" priority="3" operator="equal">
      <formula>"Due soon"</formula>
    </cfRule>
    <cfRule type="cellIs" dxfId="10" priority="4" operator="equal">
      <formula>"On track"</formula>
    </cfRule>
  </conditionalFormatting>
  <dataValidations count="4">
    <dataValidation type="list" allowBlank="1" sqref="E6:F55" xr:uid="{00000000-0002-0000-1000-000000000000}">
      <formula1>"Provider,Deployer,Both,Distributor,Importer"</formula1>
      <formula2>0</formula2>
    </dataValidation>
    <dataValidation type="list" allowBlank="1" sqref="H6:J55" xr:uid="{00000000-0002-0000-1000-000001000000}">
      <formula1>"Yes,No,Partial"</formula1>
      <formula2>0</formula2>
    </dataValidation>
    <dataValidation type="list" allowBlank="1" sqref="L6:L55" xr:uid="{00000000-0002-0000-1000-000002000000}">
      <formula1>"1 - Low,2 - Moderate,3 - Significant,4 - High,5 - Severe"</formula1>
      <formula2>0</formula2>
    </dataValidation>
    <dataValidation type="list" allowBlank="1" sqref="M6:M55" xr:uid="{00000000-0002-0000-1000-000003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E8641C"/>
    <pageSetUpPr fitToPage="1"/>
  </sheetPr>
  <dimension ref="A1:I65"/>
  <sheetViews>
    <sheetView showGridLines="0" zoomScaleNormal="100" workbookViewId="0">
      <pane ySplit="5" topLeftCell="A6" activePane="bottomLeft" state="frozen"/>
      <selection pane="bottomLeft"/>
    </sheetView>
  </sheetViews>
  <sheetFormatPr defaultColWidth="8.6640625" defaultRowHeight="14.25" x14ac:dyDescent="0.45"/>
  <cols>
    <col min="1" max="1" width="8" customWidth="1"/>
    <col min="2" max="2" width="24" customWidth="1"/>
    <col min="3" max="3" width="26" customWidth="1"/>
    <col min="4" max="4" width="34" customWidth="1"/>
    <col min="5" max="5" width="32" customWidth="1"/>
    <col min="6" max="6" width="14" customWidth="1"/>
    <col min="7" max="7" width="18" customWidth="1"/>
    <col min="8" max="9" width="14" customWidth="1"/>
  </cols>
  <sheetData>
    <row r="1" spans="1:9" ht="30" customHeight="1" x14ac:dyDescent="0.45">
      <c r="A1" s="122" t="s">
        <v>1498</v>
      </c>
      <c r="B1" s="122"/>
      <c r="C1" s="122"/>
      <c r="D1" s="122"/>
      <c r="E1" s="122"/>
      <c r="F1" s="122"/>
      <c r="G1" s="122"/>
      <c r="H1" s="122"/>
      <c r="I1" s="122"/>
    </row>
    <row r="2" spans="1:9" ht="18" customHeight="1" x14ac:dyDescent="0.45">
      <c r="A2" s="123" t="s">
        <v>1499</v>
      </c>
      <c r="B2" s="123"/>
      <c r="C2" s="123"/>
      <c r="D2" s="123"/>
      <c r="E2" s="123"/>
      <c r="F2" s="123"/>
      <c r="G2" s="123"/>
      <c r="H2" s="123"/>
      <c r="I2" s="123"/>
    </row>
    <row r="3" spans="1:9" ht="21.75" customHeight="1" x14ac:dyDescent="0.45">
      <c r="A3" s="124" t="s">
        <v>1500</v>
      </c>
      <c r="B3" s="124"/>
      <c r="C3" s="124"/>
      <c r="D3" s="124"/>
      <c r="E3" s="124"/>
      <c r="F3" s="124"/>
      <c r="G3" s="124"/>
      <c r="H3" s="124"/>
      <c r="I3" s="124"/>
    </row>
    <row r="5" spans="1:9" ht="31.5" customHeight="1" x14ac:dyDescent="0.45">
      <c r="A5" s="32" t="s">
        <v>1386</v>
      </c>
      <c r="B5" s="32" t="s">
        <v>1501</v>
      </c>
      <c r="C5" s="32" t="s">
        <v>1502</v>
      </c>
      <c r="D5" s="32" t="s">
        <v>1503</v>
      </c>
      <c r="E5" s="32" t="s">
        <v>1504</v>
      </c>
      <c r="F5" s="32" t="s">
        <v>1505</v>
      </c>
      <c r="G5" s="32" t="s">
        <v>1506</v>
      </c>
      <c r="H5" s="32" t="s">
        <v>1507</v>
      </c>
      <c r="I5" s="32" t="s">
        <v>580</v>
      </c>
    </row>
    <row r="6" spans="1:9" ht="23.25" x14ac:dyDescent="0.45">
      <c r="A6" s="75" t="s">
        <v>1508</v>
      </c>
      <c r="B6" s="75" t="s">
        <v>1509</v>
      </c>
      <c r="C6" s="75" t="s">
        <v>1510</v>
      </c>
      <c r="D6" s="75" t="s">
        <v>1511</v>
      </c>
      <c r="E6" s="75" t="s">
        <v>1512</v>
      </c>
      <c r="F6" s="78"/>
      <c r="G6" s="75" t="s">
        <v>1513</v>
      </c>
      <c r="H6" s="78"/>
      <c r="I6" s="76" t="str">
        <f t="shared" ref="I6:I37" ca="1" si="0">IF($H6="","",IF($H6&lt;TODAY(),"OVERDUE",IF($H6-TODAY()&lt;=30,"Due soon","Current")))</f>
        <v/>
      </c>
    </row>
    <row r="7" spans="1:9" x14ac:dyDescent="0.45">
      <c r="A7" s="63"/>
      <c r="B7" s="63"/>
      <c r="C7" s="63"/>
      <c r="D7" s="63"/>
      <c r="E7" s="63"/>
      <c r="F7" s="78"/>
      <c r="G7" s="63"/>
      <c r="H7" s="78"/>
      <c r="I7" s="76" t="str">
        <f t="shared" ca="1" si="0"/>
        <v/>
      </c>
    </row>
    <row r="8" spans="1:9" x14ac:dyDescent="0.45">
      <c r="A8" s="63"/>
      <c r="B8" s="63"/>
      <c r="C8" s="63"/>
      <c r="D8" s="63"/>
      <c r="E8" s="63"/>
      <c r="F8" s="78"/>
      <c r="G8" s="63"/>
      <c r="H8" s="78"/>
      <c r="I8" s="76" t="str">
        <f t="shared" ca="1" si="0"/>
        <v/>
      </c>
    </row>
    <row r="9" spans="1:9" x14ac:dyDescent="0.45">
      <c r="A9" s="63"/>
      <c r="B9" s="63"/>
      <c r="C9" s="63"/>
      <c r="D9" s="63"/>
      <c r="E9" s="63"/>
      <c r="F9" s="78"/>
      <c r="G9" s="63"/>
      <c r="H9" s="78"/>
      <c r="I9" s="76" t="str">
        <f t="shared" ca="1" si="0"/>
        <v/>
      </c>
    </row>
    <row r="10" spans="1:9" x14ac:dyDescent="0.45">
      <c r="A10" s="63"/>
      <c r="B10" s="63"/>
      <c r="C10" s="63"/>
      <c r="D10" s="63"/>
      <c r="E10" s="63"/>
      <c r="F10" s="78"/>
      <c r="G10" s="63"/>
      <c r="H10" s="78"/>
      <c r="I10" s="76" t="str">
        <f t="shared" ca="1" si="0"/>
        <v/>
      </c>
    </row>
    <row r="11" spans="1:9" x14ac:dyDescent="0.45">
      <c r="A11" s="63"/>
      <c r="B11" s="63"/>
      <c r="C11" s="63"/>
      <c r="D11" s="63"/>
      <c r="E11" s="63"/>
      <c r="F11" s="78"/>
      <c r="G11" s="63"/>
      <c r="H11" s="78"/>
      <c r="I11" s="76" t="str">
        <f t="shared" ca="1" si="0"/>
        <v/>
      </c>
    </row>
    <row r="12" spans="1:9" x14ac:dyDescent="0.45">
      <c r="A12" s="63"/>
      <c r="B12" s="63"/>
      <c r="C12" s="63"/>
      <c r="D12" s="63"/>
      <c r="E12" s="63"/>
      <c r="F12" s="78"/>
      <c r="G12" s="63"/>
      <c r="H12" s="78"/>
      <c r="I12" s="76" t="str">
        <f t="shared" ca="1" si="0"/>
        <v/>
      </c>
    </row>
    <row r="13" spans="1:9" x14ac:dyDescent="0.45">
      <c r="A13" s="63"/>
      <c r="B13" s="63"/>
      <c r="C13" s="63"/>
      <c r="D13" s="63"/>
      <c r="E13" s="63"/>
      <c r="F13" s="78"/>
      <c r="G13" s="63"/>
      <c r="H13" s="78"/>
      <c r="I13" s="76" t="str">
        <f t="shared" ca="1" si="0"/>
        <v/>
      </c>
    </row>
    <row r="14" spans="1:9" x14ac:dyDescent="0.45">
      <c r="A14" s="63"/>
      <c r="B14" s="63"/>
      <c r="C14" s="63"/>
      <c r="D14" s="63"/>
      <c r="E14" s="63"/>
      <c r="F14" s="78"/>
      <c r="G14" s="63"/>
      <c r="H14" s="78"/>
      <c r="I14" s="76" t="str">
        <f t="shared" ca="1" si="0"/>
        <v/>
      </c>
    </row>
    <row r="15" spans="1:9" x14ac:dyDescent="0.45">
      <c r="A15" s="63"/>
      <c r="B15" s="63"/>
      <c r="C15" s="63"/>
      <c r="D15" s="63"/>
      <c r="E15" s="63"/>
      <c r="F15" s="78"/>
      <c r="G15" s="63"/>
      <c r="H15" s="78"/>
      <c r="I15" s="76" t="str">
        <f t="shared" ca="1" si="0"/>
        <v/>
      </c>
    </row>
    <row r="16" spans="1:9" x14ac:dyDescent="0.45">
      <c r="A16" s="63"/>
      <c r="B16" s="63"/>
      <c r="C16" s="63"/>
      <c r="D16" s="63"/>
      <c r="E16" s="63"/>
      <c r="F16" s="78"/>
      <c r="G16" s="63"/>
      <c r="H16" s="78"/>
      <c r="I16" s="76" t="str">
        <f t="shared" ca="1" si="0"/>
        <v/>
      </c>
    </row>
    <row r="17" spans="1:9" x14ac:dyDescent="0.45">
      <c r="A17" s="63"/>
      <c r="B17" s="63"/>
      <c r="C17" s="63"/>
      <c r="D17" s="63"/>
      <c r="E17" s="63"/>
      <c r="F17" s="78"/>
      <c r="G17" s="63"/>
      <c r="H17" s="78"/>
      <c r="I17" s="76" t="str">
        <f t="shared" ca="1" si="0"/>
        <v/>
      </c>
    </row>
    <row r="18" spans="1:9" x14ac:dyDescent="0.45">
      <c r="A18" s="63"/>
      <c r="B18" s="63"/>
      <c r="C18" s="63"/>
      <c r="D18" s="63"/>
      <c r="E18" s="63"/>
      <c r="F18" s="78"/>
      <c r="G18" s="63"/>
      <c r="H18" s="78"/>
      <c r="I18" s="76" t="str">
        <f t="shared" ca="1" si="0"/>
        <v/>
      </c>
    </row>
    <row r="19" spans="1:9" x14ac:dyDescent="0.45">
      <c r="A19" s="63"/>
      <c r="B19" s="63"/>
      <c r="C19" s="63"/>
      <c r="D19" s="63"/>
      <c r="E19" s="63"/>
      <c r="F19" s="78"/>
      <c r="G19" s="63"/>
      <c r="H19" s="78"/>
      <c r="I19" s="76" t="str">
        <f t="shared" ca="1" si="0"/>
        <v/>
      </c>
    </row>
    <row r="20" spans="1:9" x14ac:dyDescent="0.45">
      <c r="A20" s="63"/>
      <c r="B20" s="63"/>
      <c r="C20" s="63"/>
      <c r="D20" s="63"/>
      <c r="E20" s="63"/>
      <c r="F20" s="78"/>
      <c r="G20" s="63"/>
      <c r="H20" s="78"/>
      <c r="I20" s="76" t="str">
        <f t="shared" ca="1" si="0"/>
        <v/>
      </c>
    </row>
    <row r="21" spans="1:9" x14ac:dyDescent="0.45">
      <c r="A21" s="63"/>
      <c r="B21" s="63"/>
      <c r="C21" s="63"/>
      <c r="D21" s="63"/>
      <c r="E21" s="63"/>
      <c r="F21" s="78"/>
      <c r="G21" s="63"/>
      <c r="H21" s="78"/>
      <c r="I21" s="76" t="str">
        <f t="shared" ca="1" si="0"/>
        <v/>
      </c>
    </row>
    <row r="22" spans="1:9" x14ac:dyDescent="0.45">
      <c r="A22" s="63"/>
      <c r="B22" s="63"/>
      <c r="C22" s="63"/>
      <c r="D22" s="63"/>
      <c r="E22" s="63"/>
      <c r="F22" s="78"/>
      <c r="G22" s="63"/>
      <c r="H22" s="78"/>
      <c r="I22" s="76" t="str">
        <f t="shared" ca="1" si="0"/>
        <v/>
      </c>
    </row>
    <row r="23" spans="1:9" x14ac:dyDescent="0.45">
      <c r="A23" s="63"/>
      <c r="B23" s="63"/>
      <c r="C23" s="63"/>
      <c r="D23" s="63"/>
      <c r="E23" s="63"/>
      <c r="F23" s="78"/>
      <c r="G23" s="63"/>
      <c r="H23" s="78"/>
      <c r="I23" s="76" t="str">
        <f t="shared" ca="1" si="0"/>
        <v/>
      </c>
    </row>
    <row r="24" spans="1:9" x14ac:dyDescent="0.45">
      <c r="A24" s="63"/>
      <c r="B24" s="63"/>
      <c r="C24" s="63"/>
      <c r="D24" s="63"/>
      <c r="E24" s="63"/>
      <c r="F24" s="78"/>
      <c r="G24" s="63"/>
      <c r="H24" s="78"/>
      <c r="I24" s="76" t="str">
        <f t="shared" ca="1" si="0"/>
        <v/>
      </c>
    </row>
    <row r="25" spans="1:9" x14ac:dyDescent="0.45">
      <c r="A25" s="63"/>
      <c r="B25" s="63"/>
      <c r="C25" s="63"/>
      <c r="D25" s="63"/>
      <c r="E25" s="63"/>
      <c r="F25" s="78"/>
      <c r="G25" s="63"/>
      <c r="H25" s="78"/>
      <c r="I25" s="76" t="str">
        <f t="shared" ca="1" si="0"/>
        <v/>
      </c>
    </row>
    <row r="26" spans="1:9" x14ac:dyDescent="0.45">
      <c r="A26" s="63"/>
      <c r="B26" s="63"/>
      <c r="C26" s="63"/>
      <c r="D26" s="63"/>
      <c r="E26" s="63"/>
      <c r="F26" s="78"/>
      <c r="G26" s="63"/>
      <c r="H26" s="78"/>
      <c r="I26" s="76" t="str">
        <f t="shared" ca="1" si="0"/>
        <v/>
      </c>
    </row>
    <row r="27" spans="1:9" x14ac:dyDescent="0.45">
      <c r="A27" s="63"/>
      <c r="B27" s="63"/>
      <c r="C27" s="63"/>
      <c r="D27" s="63"/>
      <c r="E27" s="63"/>
      <c r="F27" s="78"/>
      <c r="G27" s="63"/>
      <c r="H27" s="78"/>
      <c r="I27" s="76" t="str">
        <f t="shared" ca="1" si="0"/>
        <v/>
      </c>
    </row>
    <row r="28" spans="1:9" x14ac:dyDescent="0.45">
      <c r="A28" s="63"/>
      <c r="B28" s="63"/>
      <c r="C28" s="63"/>
      <c r="D28" s="63"/>
      <c r="E28" s="63"/>
      <c r="F28" s="78"/>
      <c r="G28" s="63"/>
      <c r="H28" s="78"/>
      <c r="I28" s="76" t="str">
        <f t="shared" ca="1" si="0"/>
        <v/>
      </c>
    </row>
    <row r="29" spans="1:9" x14ac:dyDescent="0.45">
      <c r="A29" s="63"/>
      <c r="B29" s="63"/>
      <c r="C29" s="63"/>
      <c r="D29" s="63"/>
      <c r="E29" s="63"/>
      <c r="F29" s="78"/>
      <c r="G29" s="63"/>
      <c r="H29" s="78"/>
      <c r="I29" s="76" t="str">
        <f t="shared" ca="1" si="0"/>
        <v/>
      </c>
    </row>
    <row r="30" spans="1:9" x14ac:dyDescent="0.45">
      <c r="A30" s="63"/>
      <c r="B30" s="63"/>
      <c r="C30" s="63"/>
      <c r="D30" s="63"/>
      <c r="E30" s="63"/>
      <c r="F30" s="78"/>
      <c r="G30" s="63"/>
      <c r="H30" s="78"/>
      <c r="I30" s="76" t="str">
        <f t="shared" ca="1" si="0"/>
        <v/>
      </c>
    </row>
    <row r="31" spans="1:9" x14ac:dyDescent="0.45">
      <c r="A31" s="63"/>
      <c r="B31" s="63"/>
      <c r="C31" s="63"/>
      <c r="D31" s="63"/>
      <c r="E31" s="63"/>
      <c r="F31" s="78"/>
      <c r="G31" s="63"/>
      <c r="H31" s="78"/>
      <c r="I31" s="76" t="str">
        <f t="shared" ca="1" si="0"/>
        <v/>
      </c>
    </row>
    <row r="32" spans="1:9" x14ac:dyDescent="0.45">
      <c r="A32" s="63"/>
      <c r="B32" s="63"/>
      <c r="C32" s="63"/>
      <c r="D32" s="63"/>
      <c r="E32" s="63"/>
      <c r="F32" s="78"/>
      <c r="G32" s="63"/>
      <c r="H32" s="78"/>
      <c r="I32" s="76" t="str">
        <f t="shared" ca="1" si="0"/>
        <v/>
      </c>
    </row>
    <row r="33" spans="1:9" x14ac:dyDescent="0.45">
      <c r="A33" s="63"/>
      <c r="B33" s="63"/>
      <c r="C33" s="63"/>
      <c r="D33" s="63"/>
      <c r="E33" s="63"/>
      <c r="F33" s="78"/>
      <c r="G33" s="63"/>
      <c r="H33" s="78"/>
      <c r="I33" s="76" t="str">
        <f t="shared" ca="1" si="0"/>
        <v/>
      </c>
    </row>
    <row r="34" spans="1:9" x14ac:dyDescent="0.45">
      <c r="A34" s="63"/>
      <c r="B34" s="63"/>
      <c r="C34" s="63"/>
      <c r="D34" s="63"/>
      <c r="E34" s="63"/>
      <c r="F34" s="78"/>
      <c r="G34" s="63"/>
      <c r="H34" s="78"/>
      <c r="I34" s="76" t="str">
        <f t="shared" ca="1" si="0"/>
        <v/>
      </c>
    </row>
    <row r="35" spans="1:9" x14ac:dyDescent="0.45">
      <c r="A35" s="63"/>
      <c r="B35" s="63"/>
      <c r="C35" s="63"/>
      <c r="D35" s="63"/>
      <c r="E35" s="63"/>
      <c r="F35" s="78"/>
      <c r="G35" s="63"/>
      <c r="H35" s="78"/>
      <c r="I35" s="76" t="str">
        <f t="shared" ca="1" si="0"/>
        <v/>
      </c>
    </row>
    <row r="36" spans="1:9" x14ac:dyDescent="0.45">
      <c r="A36" s="63"/>
      <c r="B36" s="63"/>
      <c r="C36" s="63"/>
      <c r="D36" s="63"/>
      <c r="E36" s="63"/>
      <c r="F36" s="78"/>
      <c r="G36" s="63"/>
      <c r="H36" s="78"/>
      <c r="I36" s="76" t="str">
        <f t="shared" ca="1" si="0"/>
        <v/>
      </c>
    </row>
    <row r="37" spans="1:9" x14ac:dyDescent="0.45">
      <c r="A37" s="63"/>
      <c r="B37" s="63"/>
      <c r="C37" s="63"/>
      <c r="D37" s="63"/>
      <c r="E37" s="63"/>
      <c r="F37" s="78"/>
      <c r="G37" s="63"/>
      <c r="H37" s="78"/>
      <c r="I37" s="76" t="str">
        <f t="shared" ca="1" si="0"/>
        <v/>
      </c>
    </row>
    <row r="38" spans="1:9" x14ac:dyDescent="0.45">
      <c r="A38" s="63"/>
      <c r="B38" s="63"/>
      <c r="C38" s="63"/>
      <c r="D38" s="63"/>
      <c r="E38" s="63"/>
      <c r="F38" s="78"/>
      <c r="G38" s="63"/>
      <c r="H38" s="78"/>
      <c r="I38" s="76" t="str">
        <f t="shared" ref="I38:I65" ca="1" si="1">IF($H38="","",IF($H38&lt;TODAY(),"OVERDUE",IF($H38-TODAY()&lt;=30,"Due soon","Current")))</f>
        <v/>
      </c>
    </row>
    <row r="39" spans="1:9" x14ac:dyDescent="0.45">
      <c r="A39" s="63"/>
      <c r="B39" s="63"/>
      <c r="C39" s="63"/>
      <c r="D39" s="63"/>
      <c r="E39" s="63"/>
      <c r="F39" s="78"/>
      <c r="G39" s="63"/>
      <c r="H39" s="78"/>
      <c r="I39" s="76" t="str">
        <f t="shared" ca="1" si="1"/>
        <v/>
      </c>
    </row>
    <row r="40" spans="1:9" x14ac:dyDescent="0.45">
      <c r="A40" s="63"/>
      <c r="B40" s="63"/>
      <c r="C40" s="63"/>
      <c r="D40" s="63"/>
      <c r="E40" s="63"/>
      <c r="F40" s="78"/>
      <c r="G40" s="63"/>
      <c r="H40" s="78"/>
      <c r="I40" s="76" t="str">
        <f t="shared" ca="1" si="1"/>
        <v/>
      </c>
    </row>
    <row r="41" spans="1:9" x14ac:dyDescent="0.45">
      <c r="A41" s="63"/>
      <c r="B41" s="63"/>
      <c r="C41" s="63"/>
      <c r="D41" s="63"/>
      <c r="E41" s="63"/>
      <c r="F41" s="78"/>
      <c r="G41" s="63"/>
      <c r="H41" s="78"/>
      <c r="I41" s="76" t="str">
        <f t="shared" ca="1" si="1"/>
        <v/>
      </c>
    </row>
    <row r="42" spans="1:9" x14ac:dyDescent="0.45">
      <c r="A42" s="63"/>
      <c r="B42" s="63"/>
      <c r="C42" s="63"/>
      <c r="D42" s="63"/>
      <c r="E42" s="63"/>
      <c r="F42" s="78"/>
      <c r="G42" s="63"/>
      <c r="H42" s="78"/>
      <c r="I42" s="76" t="str">
        <f t="shared" ca="1" si="1"/>
        <v/>
      </c>
    </row>
    <row r="43" spans="1:9" x14ac:dyDescent="0.45">
      <c r="A43" s="63"/>
      <c r="B43" s="63"/>
      <c r="C43" s="63"/>
      <c r="D43" s="63"/>
      <c r="E43" s="63"/>
      <c r="F43" s="78"/>
      <c r="G43" s="63"/>
      <c r="H43" s="78"/>
      <c r="I43" s="76" t="str">
        <f t="shared" ca="1" si="1"/>
        <v/>
      </c>
    </row>
    <row r="44" spans="1:9" x14ac:dyDescent="0.45">
      <c r="A44" s="63"/>
      <c r="B44" s="63"/>
      <c r="C44" s="63"/>
      <c r="D44" s="63"/>
      <c r="E44" s="63"/>
      <c r="F44" s="78"/>
      <c r="G44" s="63"/>
      <c r="H44" s="78"/>
      <c r="I44" s="76" t="str">
        <f t="shared" ca="1" si="1"/>
        <v/>
      </c>
    </row>
    <row r="45" spans="1:9" x14ac:dyDescent="0.45">
      <c r="A45" s="63"/>
      <c r="B45" s="63"/>
      <c r="C45" s="63"/>
      <c r="D45" s="63"/>
      <c r="E45" s="63"/>
      <c r="F45" s="78"/>
      <c r="G45" s="63"/>
      <c r="H45" s="78"/>
      <c r="I45" s="76" t="str">
        <f t="shared" ca="1" si="1"/>
        <v/>
      </c>
    </row>
    <row r="46" spans="1:9" x14ac:dyDescent="0.45">
      <c r="A46" s="63"/>
      <c r="B46" s="63"/>
      <c r="C46" s="63"/>
      <c r="D46" s="63"/>
      <c r="E46" s="63"/>
      <c r="F46" s="78"/>
      <c r="G46" s="63"/>
      <c r="H46" s="78"/>
      <c r="I46" s="76" t="str">
        <f t="shared" ca="1" si="1"/>
        <v/>
      </c>
    </row>
    <row r="47" spans="1:9" x14ac:dyDescent="0.45">
      <c r="A47" s="63"/>
      <c r="B47" s="63"/>
      <c r="C47" s="63"/>
      <c r="D47" s="63"/>
      <c r="E47" s="63"/>
      <c r="F47" s="78"/>
      <c r="G47" s="63"/>
      <c r="H47" s="78"/>
      <c r="I47" s="76" t="str">
        <f t="shared" ca="1" si="1"/>
        <v/>
      </c>
    </row>
    <row r="48" spans="1:9" x14ac:dyDescent="0.45">
      <c r="A48" s="63"/>
      <c r="B48" s="63"/>
      <c r="C48" s="63"/>
      <c r="D48" s="63"/>
      <c r="E48" s="63"/>
      <c r="F48" s="78"/>
      <c r="G48" s="63"/>
      <c r="H48" s="78"/>
      <c r="I48" s="76" t="str">
        <f t="shared" ca="1" si="1"/>
        <v/>
      </c>
    </row>
    <row r="49" spans="1:9" x14ac:dyDescent="0.45">
      <c r="A49" s="63"/>
      <c r="B49" s="63"/>
      <c r="C49" s="63"/>
      <c r="D49" s="63"/>
      <c r="E49" s="63"/>
      <c r="F49" s="78"/>
      <c r="G49" s="63"/>
      <c r="H49" s="78"/>
      <c r="I49" s="76" t="str">
        <f t="shared" ca="1" si="1"/>
        <v/>
      </c>
    </row>
    <row r="50" spans="1:9" x14ac:dyDescent="0.45">
      <c r="A50" s="63"/>
      <c r="B50" s="63"/>
      <c r="C50" s="63"/>
      <c r="D50" s="63"/>
      <c r="E50" s="63"/>
      <c r="F50" s="78"/>
      <c r="G50" s="63"/>
      <c r="H50" s="78"/>
      <c r="I50" s="76" t="str">
        <f t="shared" ca="1" si="1"/>
        <v/>
      </c>
    </row>
    <row r="51" spans="1:9" x14ac:dyDescent="0.45">
      <c r="A51" s="63"/>
      <c r="B51" s="63"/>
      <c r="C51" s="63"/>
      <c r="D51" s="63"/>
      <c r="E51" s="63"/>
      <c r="F51" s="78"/>
      <c r="G51" s="63"/>
      <c r="H51" s="78"/>
      <c r="I51" s="76" t="str">
        <f t="shared" ca="1" si="1"/>
        <v/>
      </c>
    </row>
    <row r="52" spans="1:9" x14ac:dyDescent="0.45">
      <c r="A52" s="63"/>
      <c r="B52" s="63"/>
      <c r="C52" s="63"/>
      <c r="D52" s="63"/>
      <c r="E52" s="63"/>
      <c r="F52" s="78"/>
      <c r="G52" s="63"/>
      <c r="H52" s="78"/>
      <c r="I52" s="76" t="str">
        <f t="shared" ca="1" si="1"/>
        <v/>
      </c>
    </row>
    <row r="53" spans="1:9" x14ac:dyDescent="0.45">
      <c r="A53" s="63"/>
      <c r="B53" s="63"/>
      <c r="C53" s="63"/>
      <c r="D53" s="63"/>
      <c r="E53" s="63"/>
      <c r="F53" s="78"/>
      <c r="G53" s="63"/>
      <c r="H53" s="78"/>
      <c r="I53" s="76" t="str">
        <f t="shared" ca="1" si="1"/>
        <v/>
      </c>
    </row>
    <row r="54" spans="1:9" x14ac:dyDescent="0.45">
      <c r="A54" s="63"/>
      <c r="B54" s="63"/>
      <c r="C54" s="63"/>
      <c r="D54" s="63"/>
      <c r="E54" s="63"/>
      <c r="F54" s="78"/>
      <c r="G54" s="63"/>
      <c r="H54" s="78"/>
      <c r="I54" s="76" t="str">
        <f t="shared" ca="1" si="1"/>
        <v/>
      </c>
    </row>
    <row r="55" spans="1:9" x14ac:dyDescent="0.45">
      <c r="A55" s="63"/>
      <c r="B55" s="63"/>
      <c r="C55" s="63"/>
      <c r="D55" s="63"/>
      <c r="E55" s="63"/>
      <c r="F55" s="78"/>
      <c r="G55" s="63"/>
      <c r="H55" s="78"/>
      <c r="I55" s="76" t="str">
        <f t="shared" ca="1" si="1"/>
        <v/>
      </c>
    </row>
    <row r="56" spans="1:9" x14ac:dyDescent="0.45">
      <c r="A56" s="63"/>
      <c r="B56" s="63"/>
      <c r="C56" s="63"/>
      <c r="D56" s="63"/>
      <c r="E56" s="63"/>
      <c r="F56" s="78"/>
      <c r="G56" s="63"/>
      <c r="H56" s="78"/>
      <c r="I56" s="76" t="str">
        <f t="shared" ca="1" si="1"/>
        <v/>
      </c>
    </row>
    <row r="57" spans="1:9" x14ac:dyDescent="0.45">
      <c r="A57" s="63"/>
      <c r="B57" s="63"/>
      <c r="C57" s="63"/>
      <c r="D57" s="63"/>
      <c r="E57" s="63"/>
      <c r="F57" s="78"/>
      <c r="G57" s="63"/>
      <c r="H57" s="78"/>
      <c r="I57" s="76" t="str">
        <f t="shared" ca="1" si="1"/>
        <v/>
      </c>
    </row>
    <row r="58" spans="1:9" x14ac:dyDescent="0.45">
      <c r="A58" s="63"/>
      <c r="B58" s="63"/>
      <c r="C58" s="63"/>
      <c r="D58" s="63"/>
      <c r="E58" s="63"/>
      <c r="F58" s="78"/>
      <c r="G58" s="63"/>
      <c r="H58" s="78"/>
      <c r="I58" s="76" t="str">
        <f t="shared" ca="1" si="1"/>
        <v/>
      </c>
    </row>
    <row r="59" spans="1:9" x14ac:dyDescent="0.45">
      <c r="A59" s="63"/>
      <c r="B59" s="63"/>
      <c r="C59" s="63"/>
      <c r="D59" s="63"/>
      <c r="E59" s="63"/>
      <c r="F59" s="78"/>
      <c r="G59" s="63"/>
      <c r="H59" s="78"/>
      <c r="I59" s="76" t="str">
        <f t="shared" ca="1" si="1"/>
        <v/>
      </c>
    </row>
    <row r="60" spans="1:9" x14ac:dyDescent="0.45">
      <c r="A60" s="63"/>
      <c r="B60" s="63"/>
      <c r="C60" s="63"/>
      <c r="D60" s="63"/>
      <c r="E60" s="63"/>
      <c r="F60" s="78"/>
      <c r="G60" s="63"/>
      <c r="H60" s="78"/>
      <c r="I60" s="76" t="str">
        <f t="shared" ca="1" si="1"/>
        <v/>
      </c>
    </row>
    <row r="61" spans="1:9" x14ac:dyDescent="0.45">
      <c r="A61" s="63"/>
      <c r="B61" s="63"/>
      <c r="C61" s="63"/>
      <c r="D61" s="63"/>
      <c r="E61" s="63"/>
      <c r="F61" s="78"/>
      <c r="G61" s="63"/>
      <c r="H61" s="78"/>
      <c r="I61" s="76" t="str">
        <f t="shared" ca="1" si="1"/>
        <v/>
      </c>
    </row>
    <row r="62" spans="1:9" x14ac:dyDescent="0.45">
      <c r="A62" s="63"/>
      <c r="B62" s="63"/>
      <c r="C62" s="63"/>
      <c r="D62" s="63"/>
      <c r="E62" s="63"/>
      <c r="F62" s="78"/>
      <c r="G62" s="63"/>
      <c r="H62" s="78"/>
      <c r="I62" s="76" t="str">
        <f t="shared" ca="1" si="1"/>
        <v/>
      </c>
    </row>
    <row r="63" spans="1:9" x14ac:dyDescent="0.45">
      <c r="A63" s="63"/>
      <c r="B63" s="63"/>
      <c r="C63" s="63"/>
      <c r="D63" s="63"/>
      <c r="E63" s="63"/>
      <c r="F63" s="78"/>
      <c r="G63" s="63"/>
      <c r="H63" s="78"/>
      <c r="I63" s="76" t="str">
        <f t="shared" ca="1" si="1"/>
        <v/>
      </c>
    </row>
    <row r="64" spans="1:9" x14ac:dyDescent="0.45">
      <c r="A64" s="63"/>
      <c r="B64" s="63"/>
      <c r="C64" s="63"/>
      <c r="D64" s="63"/>
      <c r="E64" s="63"/>
      <c r="F64" s="78"/>
      <c r="G64" s="63"/>
      <c r="H64" s="78"/>
      <c r="I64" s="76" t="str">
        <f t="shared" ca="1" si="1"/>
        <v/>
      </c>
    </row>
    <row r="65" spans="1:9" x14ac:dyDescent="0.45">
      <c r="A65" s="63"/>
      <c r="B65" s="63"/>
      <c r="C65" s="63"/>
      <c r="D65" s="63"/>
      <c r="E65" s="63"/>
      <c r="F65" s="78"/>
      <c r="G65" s="63"/>
      <c r="H65" s="78"/>
      <c r="I65" s="76" t="str">
        <f t="shared" ca="1" si="1"/>
        <v/>
      </c>
    </row>
  </sheetData>
  <autoFilter ref="A5:I65" xr:uid="{00000000-0009-0000-0000-000011000000}"/>
  <mergeCells count="3">
    <mergeCell ref="A1:I1"/>
    <mergeCell ref="A2:I2"/>
    <mergeCell ref="A3:I3"/>
  </mergeCells>
  <conditionalFormatting sqref="I6:I65">
    <cfRule type="cellIs" dxfId="9" priority="2" operator="equal">
      <formula>"OVERDUE"</formula>
    </cfRule>
    <cfRule type="cellIs" dxfId="8" priority="3" operator="equal">
      <formula>"Due soon"</formula>
    </cfRule>
    <cfRule type="cellIs" dxfId="7" priority="4" operator="equal">
      <formula>"Current"</formula>
    </cfRule>
  </conditionalFormatting>
  <dataValidations count="1">
    <dataValidation type="list" allowBlank="1" sqref="B6:B65" xr:uid="{00000000-0002-0000-1100-000000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E8641C"/>
    <pageSetUpPr fitToPage="1"/>
  </sheetPr>
  <dimension ref="A1:O45"/>
  <sheetViews>
    <sheetView showGridLines="0" zoomScaleNormal="100" workbookViewId="0">
      <pane ySplit="5" topLeftCell="A6" activePane="bottomLeft" state="frozen"/>
      <selection pane="bottomLeft"/>
    </sheetView>
  </sheetViews>
  <sheetFormatPr defaultColWidth="8.6640625" defaultRowHeight="14.25" x14ac:dyDescent="0.45"/>
  <cols>
    <col min="1" max="1" width="8" customWidth="1"/>
    <col min="2" max="2" width="22" customWidth="1"/>
    <col min="3" max="3" width="10" customWidth="1"/>
    <col min="4" max="4" width="16" customWidth="1"/>
    <col min="5" max="5" width="30" customWidth="1"/>
    <col min="6" max="6" width="28" customWidth="1"/>
    <col min="7" max="7" width="34" customWidth="1"/>
    <col min="8" max="8" width="26" customWidth="1"/>
    <col min="9" max="9" width="30" customWidth="1"/>
    <col min="10" max="10" width="26" customWidth="1"/>
    <col min="11" max="11" width="24" customWidth="1"/>
    <col min="12" max="12" width="28" customWidth="1"/>
    <col min="13" max="13" width="26" customWidth="1"/>
    <col min="14" max="14" width="18" customWidth="1"/>
    <col min="15" max="15" width="13" customWidth="1"/>
  </cols>
  <sheetData>
    <row r="1" spans="1:15" ht="30" customHeight="1" x14ac:dyDescent="0.45">
      <c r="A1" s="122" t="s">
        <v>1514</v>
      </c>
      <c r="B1" s="122"/>
      <c r="C1" s="122"/>
      <c r="D1" s="122"/>
      <c r="E1" s="122"/>
      <c r="F1" s="122"/>
      <c r="G1" s="122"/>
      <c r="H1" s="122"/>
      <c r="I1" s="122"/>
      <c r="J1" s="122"/>
      <c r="K1" s="122"/>
      <c r="L1" s="122"/>
      <c r="M1" s="122"/>
      <c r="N1" s="122"/>
      <c r="O1" s="122"/>
    </row>
    <row r="2" spans="1:15" ht="18" customHeight="1" x14ac:dyDescent="0.45">
      <c r="A2" s="123" t="s">
        <v>1515</v>
      </c>
      <c r="B2" s="123"/>
      <c r="C2" s="123"/>
      <c r="D2" s="123"/>
      <c r="E2" s="123"/>
      <c r="F2" s="123"/>
      <c r="G2" s="123"/>
      <c r="H2" s="123"/>
      <c r="I2" s="123"/>
      <c r="J2" s="123"/>
      <c r="K2" s="123"/>
      <c r="L2" s="123"/>
      <c r="M2" s="123"/>
      <c r="N2" s="123"/>
      <c r="O2" s="123"/>
    </row>
    <row r="3" spans="1:15" ht="21.75" customHeight="1" x14ac:dyDescent="0.45">
      <c r="A3" s="124" t="s">
        <v>1516</v>
      </c>
      <c r="B3" s="124"/>
      <c r="C3" s="124"/>
      <c r="D3" s="124"/>
      <c r="E3" s="124"/>
      <c r="F3" s="124"/>
      <c r="G3" s="124"/>
      <c r="H3" s="124"/>
      <c r="I3" s="124"/>
      <c r="J3" s="124"/>
      <c r="K3" s="124"/>
      <c r="L3" s="124"/>
      <c r="M3" s="124"/>
      <c r="N3" s="124"/>
      <c r="O3" s="124"/>
    </row>
    <row r="5" spans="1:15" ht="31.5" customHeight="1" x14ac:dyDescent="0.45">
      <c r="A5" s="32" t="s">
        <v>1386</v>
      </c>
      <c r="B5" s="32" t="s">
        <v>1517</v>
      </c>
      <c r="C5" s="32" t="s">
        <v>1518</v>
      </c>
      <c r="D5" s="32" t="s">
        <v>1494</v>
      </c>
      <c r="E5" s="32" t="s">
        <v>1519</v>
      </c>
      <c r="F5" s="32" t="s">
        <v>1520</v>
      </c>
      <c r="G5" s="32" t="s">
        <v>1521</v>
      </c>
      <c r="H5" s="32" t="s">
        <v>1522</v>
      </c>
      <c r="I5" s="32" t="s">
        <v>1523</v>
      </c>
      <c r="J5" s="32" t="s">
        <v>1524</v>
      </c>
      <c r="K5" s="32" t="s">
        <v>1525</v>
      </c>
      <c r="L5" s="32" t="s">
        <v>1394</v>
      </c>
      <c r="M5" s="32" t="s">
        <v>1526</v>
      </c>
      <c r="N5" s="32" t="s">
        <v>648</v>
      </c>
      <c r="O5" s="32" t="s">
        <v>1527</v>
      </c>
    </row>
    <row r="6" spans="1:15" ht="23.25" x14ac:dyDescent="0.45">
      <c r="A6" s="75" t="s">
        <v>1528</v>
      </c>
      <c r="B6" s="75" t="s">
        <v>1529</v>
      </c>
      <c r="C6" s="75" t="s">
        <v>1530</v>
      </c>
      <c r="D6" s="75" t="s">
        <v>1490</v>
      </c>
      <c r="E6" s="75" t="s">
        <v>1531</v>
      </c>
      <c r="F6" s="75" t="s">
        <v>1532</v>
      </c>
      <c r="G6" s="75" t="s">
        <v>1533</v>
      </c>
      <c r="H6" s="75" t="s">
        <v>1534</v>
      </c>
      <c r="I6" s="75" t="s">
        <v>1535</v>
      </c>
      <c r="J6" s="75" t="s">
        <v>1536</v>
      </c>
      <c r="K6" s="75" t="s">
        <v>1537</v>
      </c>
      <c r="L6" s="75" t="s">
        <v>1538</v>
      </c>
      <c r="M6" s="75" t="s">
        <v>1539</v>
      </c>
      <c r="N6" s="75" t="s">
        <v>153</v>
      </c>
      <c r="O6" s="78"/>
    </row>
    <row r="7" spans="1:15" x14ac:dyDescent="0.45">
      <c r="A7" s="63"/>
      <c r="B7" s="63"/>
      <c r="C7" s="63"/>
      <c r="D7" s="63"/>
      <c r="E7" s="63"/>
      <c r="F7" s="63"/>
      <c r="G7" s="63"/>
      <c r="H7" s="63"/>
      <c r="I7" s="63"/>
      <c r="J7" s="63"/>
      <c r="K7" s="63"/>
      <c r="L7" s="63"/>
      <c r="M7" s="63"/>
      <c r="N7" s="63"/>
      <c r="O7" s="78"/>
    </row>
    <row r="8" spans="1:15" x14ac:dyDescent="0.45">
      <c r="A8" s="63"/>
      <c r="B8" s="63"/>
      <c r="C8" s="63"/>
      <c r="D8" s="63"/>
      <c r="E8" s="63"/>
      <c r="F8" s="63"/>
      <c r="G8" s="63"/>
      <c r="H8" s="63"/>
      <c r="I8" s="63"/>
      <c r="J8" s="63"/>
      <c r="K8" s="63"/>
      <c r="L8" s="63"/>
      <c r="M8" s="63"/>
      <c r="N8" s="63"/>
      <c r="O8" s="78"/>
    </row>
    <row r="9" spans="1:15" x14ac:dyDescent="0.45">
      <c r="A9" s="63"/>
      <c r="B9" s="63"/>
      <c r="C9" s="63"/>
      <c r="D9" s="63"/>
      <c r="E9" s="63"/>
      <c r="F9" s="63"/>
      <c r="G9" s="63"/>
      <c r="H9" s="63"/>
      <c r="I9" s="63"/>
      <c r="J9" s="63"/>
      <c r="K9" s="63"/>
      <c r="L9" s="63"/>
      <c r="M9" s="63"/>
      <c r="N9" s="63"/>
      <c r="O9" s="78"/>
    </row>
    <row r="10" spans="1:15" x14ac:dyDescent="0.45">
      <c r="A10" s="63"/>
      <c r="B10" s="63"/>
      <c r="C10" s="63"/>
      <c r="D10" s="63"/>
      <c r="E10" s="63"/>
      <c r="F10" s="63"/>
      <c r="G10" s="63"/>
      <c r="H10" s="63"/>
      <c r="I10" s="63"/>
      <c r="J10" s="63"/>
      <c r="K10" s="63"/>
      <c r="L10" s="63"/>
      <c r="M10" s="63"/>
      <c r="N10" s="63"/>
      <c r="O10" s="78"/>
    </row>
    <row r="11" spans="1:15" x14ac:dyDescent="0.45">
      <c r="A11" s="63"/>
      <c r="B11" s="63"/>
      <c r="C11" s="63"/>
      <c r="D11" s="63"/>
      <c r="E11" s="63"/>
      <c r="F11" s="63"/>
      <c r="G11" s="63"/>
      <c r="H11" s="63"/>
      <c r="I11" s="63"/>
      <c r="J11" s="63"/>
      <c r="K11" s="63"/>
      <c r="L11" s="63"/>
      <c r="M11" s="63"/>
      <c r="N11" s="63"/>
      <c r="O11" s="78"/>
    </row>
    <row r="12" spans="1:15" x14ac:dyDescent="0.45">
      <c r="A12" s="63"/>
      <c r="B12" s="63"/>
      <c r="C12" s="63"/>
      <c r="D12" s="63"/>
      <c r="E12" s="63"/>
      <c r="F12" s="63"/>
      <c r="G12" s="63"/>
      <c r="H12" s="63"/>
      <c r="I12" s="63"/>
      <c r="J12" s="63"/>
      <c r="K12" s="63"/>
      <c r="L12" s="63"/>
      <c r="M12" s="63"/>
      <c r="N12" s="63"/>
      <c r="O12" s="78"/>
    </row>
    <row r="13" spans="1:15" x14ac:dyDescent="0.45">
      <c r="A13" s="63"/>
      <c r="B13" s="63"/>
      <c r="C13" s="63"/>
      <c r="D13" s="63"/>
      <c r="E13" s="63"/>
      <c r="F13" s="63"/>
      <c r="G13" s="63"/>
      <c r="H13" s="63"/>
      <c r="I13" s="63"/>
      <c r="J13" s="63"/>
      <c r="K13" s="63"/>
      <c r="L13" s="63"/>
      <c r="M13" s="63"/>
      <c r="N13" s="63"/>
      <c r="O13" s="78"/>
    </row>
    <row r="14" spans="1:15" x14ac:dyDescent="0.45">
      <c r="A14" s="63"/>
      <c r="B14" s="63"/>
      <c r="C14" s="63"/>
      <c r="D14" s="63"/>
      <c r="E14" s="63"/>
      <c r="F14" s="63"/>
      <c r="G14" s="63"/>
      <c r="H14" s="63"/>
      <c r="I14" s="63"/>
      <c r="J14" s="63"/>
      <c r="K14" s="63"/>
      <c r="L14" s="63"/>
      <c r="M14" s="63"/>
      <c r="N14" s="63"/>
      <c r="O14" s="78"/>
    </row>
    <row r="15" spans="1:15" x14ac:dyDescent="0.45">
      <c r="A15" s="63"/>
      <c r="B15" s="63"/>
      <c r="C15" s="63"/>
      <c r="D15" s="63"/>
      <c r="E15" s="63"/>
      <c r="F15" s="63"/>
      <c r="G15" s="63"/>
      <c r="H15" s="63"/>
      <c r="I15" s="63"/>
      <c r="J15" s="63"/>
      <c r="K15" s="63"/>
      <c r="L15" s="63"/>
      <c r="M15" s="63"/>
      <c r="N15" s="63"/>
      <c r="O15" s="78"/>
    </row>
    <row r="16" spans="1:15" x14ac:dyDescent="0.45">
      <c r="A16" s="63"/>
      <c r="B16" s="63"/>
      <c r="C16" s="63"/>
      <c r="D16" s="63"/>
      <c r="E16" s="63"/>
      <c r="F16" s="63"/>
      <c r="G16" s="63"/>
      <c r="H16" s="63"/>
      <c r="I16" s="63"/>
      <c r="J16" s="63"/>
      <c r="K16" s="63"/>
      <c r="L16" s="63"/>
      <c r="M16" s="63"/>
      <c r="N16" s="63"/>
      <c r="O16" s="78"/>
    </row>
    <row r="17" spans="1:15" x14ac:dyDescent="0.45">
      <c r="A17" s="63"/>
      <c r="B17" s="63"/>
      <c r="C17" s="63"/>
      <c r="D17" s="63"/>
      <c r="E17" s="63"/>
      <c r="F17" s="63"/>
      <c r="G17" s="63"/>
      <c r="H17" s="63"/>
      <c r="I17" s="63"/>
      <c r="J17" s="63"/>
      <c r="K17" s="63"/>
      <c r="L17" s="63"/>
      <c r="M17" s="63"/>
      <c r="N17" s="63"/>
      <c r="O17" s="78"/>
    </row>
    <row r="18" spans="1:15" x14ac:dyDescent="0.45">
      <c r="A18" s="63"/>
      <c r="B18" s="63"/>
      <c r="C18" s="63"/>
      <c r="D18" s="63"/>
      <c r="E18" s="63"/>
      <c r="F18" s="63"/>
      <c r="G18" s="63"/>
      <c r="H18" s="63"/>
      <c r="I18" s="63"/>
      <c r="J18" s="63"/>
      <c r="K18" s="63"/>
      <c r="L18" s="63"/>
      <c r="M18" s="63"/>
      <c r="N18" s="63"/>
      <c r="O18" s="78"/>
    </row>
    <row r="19" spans="1:15" x14ac:dyDescent="0.45">
      <c r="A19" s="63"/>
      <c r="B19" s="63"/>
      <c r="C19" s="63"/>
      <c r="D19" s="63"/>
      <c r="E19" s="63"/>
      <c r="F19" s="63"/>
      <c r="G19" s="63"/>
      <c r="H19" s="63"/>
      <c r="I19" s="63"/>
      <c r="J19" s="63"/>
      <c r="K19" s="63"/>
      <c r="L19" s="63"/>
      <c r="M19" s="63"/>
      <c r="N19" s="63"/>
      <c r="O19" s="78"/>
    </row>
    <row r="20" spans="1:15" x14ac:dyDescent="0.45">
      <c r="A20" s="63"/>
      <c r="B20" s="63"/>
      <c r="C20" s="63"/>
      <c r="D20" s="63"/>
      <c r="E20" s="63"/>
      <c r="F20" s="63"/>
      <c r="G20" s="63"/>
      <c r="H20" s="63"/>
      <c r="I20" s="63"/>
      <c r="J20" s="63"/>
      <c r="K20" s="63"/>
      <c r="L20" s="63"/>
      <c r="M20" s="63"/>
      <c r="N20" s="63"/>
      <c r="O20" s="78"/>
    </row>
    <row r="21" spans="1:15" x14ac:dyDescent="0.45">
      <c r="A21" s="63"/>
      <c r="B21" s="63"/>
      <c r="C21" s="63"/>
      <c r="D21" s="63"/>
      <c r="E21" s="63"/>
      <c r="F21" s="63"/>
      <c r="G21" s="63"/>
      <c r="H21" s="63"/>
      <c r="I21" s="63"/>
      <c r="J21" s="63"/>
      <c r="K21" s="63"/>
      <c r="L21" s="63"/>
      <c r="M21" s="63"/>
      <c r="N21" s="63"/>
      <c r="O21" s="78"/>
    </row>
    <row r="22" spans="1:15" x14ac:dyDescent="0.45">
      <c r="A22" s="63"/>
      <c r="B22" s="63"/>
      <c r="C22" s="63"/>
      <c r="D22" s="63"/>
      <c r="E22" s="63"/>
      <c r="F22" s="63"/>
      <c r="G22" s="63"/>
      <c r="H22" s="63"/>
      <c r="I22" s="63"/>
      <c r="J22" s="63"/>
      <c r="K22" s="63"/>
      <c r="L22" s="63"/>
      <c r="M22" s="63"/>
      <c r="N22" s="63"/>
      <c r="O22" s="78"/>
    </row>
    <row r="23" spans="1:15" x14ac:dyDescent="0.45">
      <c r="A23" s="63"/>
      <c r="B23" s="63"/>
      <c r="C23" s="63"/>
      <c r="D23" s="63"/>
      <c r="E23" s="63"/>
      <c r="F23" s="63"/>
      <c r="G23" s="63"/>
      <c r="H23" s="63"/>
      <c r="I23" s="63"/>
      <c r="J23" s="63"/>
      <c r="K23" s="63"/>
      <c r="L23" s="63"/>
      <c r="M23" s="63"/>
      <c r="N23" s="63"/>
      <c r="O23" s="78"/>
    </row>
    <row r="24" spans="1:15" x14ac:dyDescent="0.45">
      <c r="A24" s="63"/>
      <c r="B24" s="63"/>
      <c r="C24" s="63"/>
      <c r="D24" s="63"/>
      <c r="E24" s="63"/>
      <c r="F24" s="63"/>
      <c r="G24" s="63"/>
      <c r="H24" s="63"/>
      <c r="I24" s="63"/>
      <c r="J24" s="63"/>
      <c r="K24" s="63"/>
      <c r="L24" s="63"/>
      <c r="M24" s="63"/>
      <c r="N24" s="63"/>
      <c r="O24" s="78"/>
    </row>
    <row r="25" spans="1:15" x14ac:dyDescent="0.45">
      <c r="A25" s="63"/>
      <c r="B25" s="63"/>
      <c r="C25" s="63"/>
      <c r="D25" s="63"/>
      <c r="E25" s="63"/>
      <c r="F25" s="63"/>
      <c r="G25" s="63"/>
      <c r="H25" s="63"/>
      <c r="I25" s="63"/>
      <c r="J25" s="63"/>
      <c r="K25" s="63"/>
      <c r="L25" s="63"/>
      <c r="M25" s="63"/>
      <c r="N25" s="63"/>
      <c r="O25" s="78"/>
    </row>
    <row r="26" spans="1:15" x14ac:dyDescent="0.45">
      <c r="A26" s="63"/>
      <c r="B26" s="63"/>
      <c r="C26" s="63"/>
      <c r="D26" s="63"/>
      <c r="E26" s="63"/>
      <c r="F26" s="63"/>
      <c r="G26" s="63"/>
      <c r="H26" s="63"/>
      <c r="I26" s="63"/>
      <c r="J26" s="63"/>
      <c r="K26" s="63"/>
      <c r="L26" s="63"/>
      <c r="M26" s="63"/>
      <c r="N26" s="63"/>
      <c r="O26" s="78"/>
    </row>
    <row r="27" spans="1:15" x14ac:dyDescent="0.45">
      <c r="A27" s="63"/>
      <c r="B27" s="63"/>
      <c r="C27" s="63"/>
      <c r="D27" s="63"/>
      <c r="E27" s="63"/>
      <c r="F27" s="63"/>
      <c r="G27" s="63"/>
      <c r="H27" s="63"/>
      <c r="I27" s="63"/>
      <c r="J27" s="63"/>
      <c r="K27" s="63"/>
      <c r="L27" s="63"/>
      <c r="M27" s="63"/>
      <c r="N27" s="63"/>
      <c r="O27" s="78"/>
    </row>
    <row r="28" spans="1:15" x14ac:dyDescent="0.45">
      <c r="A28" s="63"/>
      <c r="B28" s="63"/>
      <c r="C28" s="63"/>
      <c r="D28" s="63"/>
      <c r="E28" s="63"/>
      <c r="F28" s="63"/>
      <c r="G28" s="63"/>
      <c r="H28" s="63"/>
      <c r="I28" s="63"/>
      <c r="J28" s="63"/>
      <c r="K28" s="63"/>
      <c r="L28" s="63"/>
      <c r="M28" s="63"/>
      <c r="N28" s="63"/>
      <c r="O28" s="78"/>
    </row>
    <row r="29" spans="1:15" x14ac:dyDescent="0.45">
      <c r="A29" s="63"/>
      <c r="B29" s="63"/>
      <c r="C29" s="63"/>
      <c r="D29" s="63"/>
      <c r="E29" s="63"/>
      <c r="F29" s="63"/>
      <c r="G29" s="63"/>
      <c r="H29" s="63"/>
      <c r="I29" s="63"/>
      <c r="J29" s="63"/>
      <c r="K29" s="63"/>
      <c r="L29" s="63"/>
      <c r="M29" s="63"/>
      <c r="N29" s="63"/>
      <c r="O29" s="78"/>
    </row>
    <row r="30" spans="1:15" x14ac:dyDescent="0.45">
      <c r="A30" s="63"/>
      <c r="B30" s="63"/>
      <c r="C30" s="63"/>
      <c r="D30" s="63"/>
      <c r="E30" s="63"/>
      <c r="F30" s="63"/>
      <c r="G30" s="63"/>
      <c r="H30" s="63"/>
      <c r="I30" s="63"/>
      <c r="J30" s="63"/>
      <c r="K30" s="63"/>
      <c r="L30" s="63"/>
      <c r="M30" s="63"/>
      <c r="N30" s="63"/>
      <c r="O30" s="78"/>
    </row>
    <row r="31" spans="1:15" x14ac:dyDescent="0.45">
      <c r="A31" s="63"/>
      <c r="B31" s="63"/>
      <c r="C31" s="63"/>
      <c r="D31" s="63"/>
      <c r="E31" s="63"/>
      <c r="F31" s="63"/>
      <c r="G31" s="63"/>
      <c r="H31" s="63"/>
      <c r="I31" s="63"/>
      <c r="J31" s="63"/>
      <c r="K31" s="63"/>
      <c r="L31" s="63"/>
      <c r="M31" s="63"/>
      <c r="N31" s="63"/>
      <c r="O31" s="78"/>
    </row>
    <row r="32" spans="1:15" x14ac:dyDescent="0.45">
      <c r="A32" s="63"/>
      <c r="B32" s="63"/>
      <c r="C32" s="63"/>
      <c r="D32" s="63"/>
      <c r="E32" s="63"/>
      <c r="F32" s="63"/>
      <c r="G32" s="63"/>
      <c r="H32" s="63"/>
      <c r="I32" s="63"/>
      <c r="J32" s="63"/>
      <c r="K32" s="63"/>
      <c r="L32" s="63"/>
      <c r="M32" s="63"/>
      <c r="N32" s="63"/>
      <c r="O32" s="78"/>
    </row>
    <row r="33" spans="1:15" x14ac:dyDescent="0.45">
      <c r="A33" s="63"/>
      <c r="B33" s="63"/>
      <c r="C33" s="63"/>
      <c r="D33" s="63"/>
      <c r="E33" s="63"/>
      <c r="F33" s="63"/>
      <c r="G33" s="63"/>
      <c r="H33" s="63"/>
      <c r="I33" s="63"/>
      <c r="J33" s="63"/>
      <c r="K33" s="63"/>
      <c r="L33" s="63"/>
      <c r="M33" s="63"/>
      <c r="N33" s="63"/>
      <c r="O33" s="78"/>
    </row>
    <row r="34" spans="1:15" x14ac:dyDescent="0.45">
      <c r="A34" s="63"/>
      <c r="B34" s="63"/>
      <c r="C34" s="63"/>
      <c r="D34" s="63"/>
      <c r="E34" s="63"/>
      <c r="F34" s="63"/>
      <c r="G34" s="63"/>
      <c r="H34" s="63"/>
      <c r="I34" s="63"/>
      <c r="J34" s="63"/>
      <c r="K34" s="63"/>
      <c r="L34" s="63"/>
      <c r="M34" s="63"/>
      <c r="N34" s="63"/>
      <c r="O34" s="78"/>
    </row>
    <row r="35" spans="1:15" x14ac:dyDescent="0.45">
      <c r="A35" s="63"/>
      <c r="B35" s="63"/>
      <c r="C35" s="63"/>
      <c r="D35" s="63"/>
      <c r="E35" s="63"/>
      <c r="F35" s="63"/>
      <c r="G35" s="63"/>
      <c r="H35" s="63"/>
      <c r="I35" s="63"/>
      <c r="J35" s="63"/>
      <c r="K35" s="63"/>
      <c r="L35" s="63"/>
      <c r="M35" s="63"/>
      <c r="N35" s="63"/>
      <c r="O35" s="78"/>
    </row>
    <row r="36" spans="1:15" x14ac:dyDescent="0.45">
      <c r="A36" s="63"/>
      <c r="B36" s="63"/>
      <c r="C36" s="63"/>
      <c r="D36" s="63"/>
      <c r="E36" s="63"/>
      <c r="F36" s="63"/>
      <c r="G36" s="63"/>
      <c r="H36" s="63"/>
      <c r="I36" s="63"/>
      <c r="J36" s="63"/>
      <c r="K36" s="63"/>
      <c r="L36" s="63"/>
      <c r="M36" s="63"/>
      <c r="N36" s="63"/>
      <c r="O36" s="78"/>
    </row>
    <row r="37" spans="1:15" x14ac:dyDescent="0.45">
      <c r="A37" s="63"/>
      <c r="B37" s="63"/>
      <c r="C37" s="63"/>
      <c r="D37" s="63"/>
      <c r="E37" s="63"/>
      <c r="F37" s="63"/>
      <c r="G37" s="63"/>
      <c r="H37" s="63"/>
      <c r="I37" s="63"/>
      <c r="J37" s="63"/>
      <c r="K37" s="63"/>
      <c r="L37" s="63"/>
      <c r="M37" s="63"/>
      <c r="N37" s="63"/>
      <c r="O37" s="78"/>
    </row>
    <row r="38" spans="1:15" x14ac:dyDescent="0.45">
      <c r="A38" s="63"/>
      <c r="B38" s="63"/>
      <c r="C38" s="63"/>
      <c r="D38" s="63"/>
      <c r="E38" s="63"/>
      <c r="F38" s="63"/>
      <c r="G38" s="63"/>
      <c r="H38" s="63"/>
      <c r="I38" s="63"/>
      <c r="J38" s="63"/>
      <c r="K38" s="63"/>
      <c r="L38" s="63"/>
      <c r="M38" s="63"/>
      <c r="N38" s="63"/>
      <c r="O38" s="78"/>
    </row>
    <row r="39" spans="1:15" x14ac:dyDescent="0.45">
      <c r="A39" s="63"/>
      <c r="B39" s="63"/>
      <c r="C39" s="63"/>
      <c r="D39" s="63"/>
      <c r="E39" s="63"/>
      <c r="F39" s="63"/>
      <c r="G39" s="63"/>
      <c r="H39" s="63"/>
      <c r="I39" s="63"/>
      <c r="J39" s="63"/>
      <c r="K39" s="63"/>
      <c r="L39" s="63"/>
      <c r="M39" s="63"/>
      <c r="N39" s="63"/>
      <c r="O39" s="78"/>
    </row>
    <row r="40" spans="1:15" x14ac:dyDescent="0.45">
      <c r="A40" s="63"/>
      <c r="B40" s="63"/>
      <c r="C40" s="63"/>
      <c r="D40" s="63"/>
      <c r="E40" s="63"/>
      <c r="F40" s="63"/>
      <c r="G40" s="63"/>
      <c r="H40" s="63"/>
      <c r="I40" s="63"/>
      <c r="J40" s="63"/>
      <c r="K40" s="63"/>
      <c r="L40" s="63"/>
      <c r="M40" s="63"/>
      <c r="N40" s="63"/>
      <c r="O40" s="78"/>
    </row>
    <row r="41" spans="1:15" x14ac:dyDescent="0.45">
      <c r="A41" s="63"/>
      <c r="B41" s="63"/>
      <c r="C41" s="63"/>
      <c r="D41" s="63"/>
      <c r="E41" s="63"/>
      <c r="F41" s="63"/>
      <c r="G41" s="63"/>
      <c r="H41" s="63"/>
      <c r="I41" s="63"/>
      <c r="J41" s="63"/>
      <c r="K41" s="63"/>
      <c r="L41" s="63"/>
      <c r="M41" s="63"/>
      <c r="N41" s="63"/>
      <c r="O41" s="78"/>
    </row>
    <row r="42" spans="1:15" x14ac:dyDescent="0.45">
      <c r="A42" s="63"/>
      <c r="B42" s="63"/>
      <c r="C42" s="63"/>
      <c r="D42" s="63"/>
      <c r="E42" s="63"/>
      <c r="F42" s="63"/>
      <c r="G42" s="63"/>
      <c r="H42" s="63"/>
      <c r="I42" s="63"/>
      <c r="J42" s="63"/>
      <c r="K42" s="63"/>
      <c r="L42" s="63"/>
      <c r="M42" s="63"/>
      <c r="N42" s="63"/>
      <c r="O42" s="78"/>
    </row>
    <row r="43" spans="1:15" x14ac:dyDescent="0.45">
      <c r="A43" s="63"/>
      <c r="B43" s="63"/>
      <c r="C43" s="63"/>
      <c r="D43" s="63"/>
      <c r="E43" s="63"/>
      <c r="F43" s="63"/>
      <c r="G43" s="63"/>
      <c r="H43" s="63"/>
      <c r="I43" s="63"/>
      <c r="J43" s="63"/>
      <c r="K43" s="63"/>
      <c r="L43" s="63"/>
      <c r="M43" s="63"/>
      <c r="N43" s="63"/>
      <c r="O43" s="78"/>
    </row>
    <row r="44" spans="1:15" x14ac:dyDescent="0.45">
      <c r="A44" s="63"/>
      <c r="B44" s="63"/>
      <c r="C44" s="63"/>
      <c r="D44" s="63"/>
      <c r="E44" s="63"/>
      <c r="F44" s="63"/>
      <c r="G44" s="63"/>
      <c r="H44" s="63"/>
      <c r="I44" s="63"/>
      <c r="J44" s="63"/>
      <c r="K44" s="63"/>
      <c r="L44" s="63"/>
      <c r="M44" s="63"/>
      <c r="N44" s="63"/>
      <c r="O44" s="78"/>
    </row>
    <row r="45" spans="1:15" x14ac:dyDescent="0.45">
      <c r="A45" s="63"/>
      <c r="B45" s="63"/>
      <c r="C45" s="63"/>
      <c r="D45" s="63"/>
      <c r="E45" s="63"/>
      <c r="F45" s="63"/>
      <c r="G45" s="63"/>
      <c r="H45" s="63"/>
      <c r="I45" s="63"/>
      <c r="J45" s="63"/>
      <c r="K45" s="63"/>
      <c r="L45" s="63"/>
      <c r="M45" s="63"/>
      <c r="N45" s="63"/>
      <c r="O45" s="78"/>
    </row>
  </sheetData>
  <autoFilter ref="A5:O45" xr:uid="{00000000-0009-0000-0000-000012000000}"/>
  <mergeCells count="3">
    <mergeCell ref="A1:O1"/>
    <mergeCell ref="A2:O2"/>
    <mergeCell ref="A3:O3"/>
  </mergeCells>
  <dataValidations count="1">
    <dataValidation type="list" allowBlank="1" sqref="N6:N45" xr:uid="{00000000-0002-0000-1200-000000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E6B4F"/>
    <pageSetUpPr fitToPage="1"/>
  </sheetPr>
  <dimension ref="B2:N56"/>
  <sheetViews>
    <sheetView showGridLines="0" zoomScaleNormal="100" workbookViewId="0"/>
  </sheetViews>
  <sheetFormatPr defaultColWidth="8.6640625" defaultRowHeight="14.25" x14ac:dyDescent="0.45"/>
  <cols>
    <col min="1" max="1" width="2" customWidth="1"/>
    <col min="2" max="2" width="20" customWidth="1"/>
    <col min="3" max="3" width="13" customWidth="1"/>
    <col min="4" max="4" width="3" customWidth="1"/>
    <col min="5" max="5" width="20" customWidth="1"/>
    <col min="6" max="6" width="13" customWidth="1"/>
    <col min="7" max="7" width="3" customWidth="1"/>
    <col min="8" max="8" width="20" customWidth="1"/>
    <col min="9" max="9" width="13" customWidth="1"/>
    <col min="10" max="10" width="2" customWidth="1"/>
    <col min="11" max="11" width="30" customWidth="1"/>
    <col min="12" max="13" width="8" customWidth="1"/>
    <col min="14" max="14" width="12" customWidth="1"/>
  </cols>
  <sheetData>
    <row r="2" spans="2:13" ht="33.75" customHeight="1" x14ac:dyDescent="0.45">
      <c r="B2" s="14" t="s">
        <v>70</v>
      </c>
      <c r="C2" s="14"/>
      <c r="D2" s="14"/>
      <c r="E2" s="14"/>
      <c r="F2" s="14"/>
      <c r="G2" s="14"/>
      <c r="H2" s="14"/>
      <c r="I2" s="14"/>
      <c r="J2" s="14"/>
      <c r="K2" s="14"/>
      <c r="L2" s="14"/>
      <c r="M2" s="14"/>
    </row>
    <row r="3" spans="2:13" ht="19.5" customHeight="1" x14ac:dyDescent="0.45">
      <c r="B3" s="12" t="s">
        <v>71</v>
      </c>
      <c r="C3" s="12"/>
      <c r="D3" s="12"/>
      <c r="E3" s="12"/>
      <c r="F3" s="12"/>
      <c r="G3" s="12"/>
      <c r="H3" s="12"/>
      <c r="I3" s="12"/>
      <c r="J3" s="12"/>
      <c r="K3" s="12"/>
      <c r="L3" s="12"/>
      <c r="M3" s="12"/>
    </row>
    <row r="5" spans="2:13" ht="21.75" customHeight="1" x14ac:dyDescent="0.45">
      <c r="B5" s="11" t="s">
        <v>72</v>
      </c>
      <c r="C5" s="11"/>
      <c r="D5" s="11"/>
      <c r="E5" s="11"/>
      <c r="F5" s="11"/>
      <c r="G5" s="11"/>
      <c r="H5" s="11"/>
      <c r="I5" s="11"/>
      <c r="J5" s="11"/>
      <c r="K5" s="11"/>
      <c r="L5" s="11"/>
      <c r="M5" s="11"/>
    </row>
    <row r="6" spans="2:13" ht="15.75" customHeight="1" x14ac:dyDescent="0.45">
      <c r="B6" s="10" t="s">
        <v>73</v>
      </c>
      <c r="C6" s="10"/>
      <c r="E6" s="10" t="s">
        <v>74</v>
      </c>
      <c r="F6" s="10"/>
      <c r="H6" s="10" t="s">
        <v>75</v>
      </c>
      <c r="I6" s="10"/>
    </row>
    <row r="7" spans="2:13" ht="30" customHeight="1" x14ac:dyDescent="0.45">
      <c r="B7" s="9">
        <f>COUNTA('1. AI Systems'!$B$6:$B$65)</f>
        <v>1</v>
      </c>
      <c r="C7" s="9"/>
      <c r="E7" s="9">
        <f>SUMPRODUCT(--(LEFT('1. AI Systems'!$M$6:$M$65,9)="High-Risk"))</f>
        <v>1</v>
      </c>
      <c r="F7" s="9"/>
      <c r="H7" s="9">
        <f>SUMPRODUCT(--(LEFT('1. AI Systems'!$M$6:$M$65,10)="PROHIBITED"))</f>
        <v>0</v>
      </c>
      <c r="I7" s="9"/>
    </row>
    <row r="8" spans="2:13" ht="13.5" customHeight="1" x14ac:dyDescent="0.45">
      <c r="B8" s="8" t="s">
        <v>76</v>
      </c>
      <c r="C8" s="8"/>
      <c r="E8" s="8" t="s">
        <v>77</v>
      </c>
      <c r="F8" s="8"/>
      <c r="H8" s="8" t="s">
        <v>78</v>
      </c>
      <c r="I8" s="8"/>
    </row>
    <row r="10" spans="2:13" ht="21.75" customHeight="1" x14ac:dyDescent="0.45">
      <c r="B10" s="11" t="s">
        <v>79</v>
      </c>
      <c r="C10" s="11"/>
      <c r="D10" s="11"/>
      <c r="E10" s="11"/>
      <c r="F10" s="11"/>
      <c r="G10" s="11"/>
      <c r="H10" s="11"/>
      <c r="I10" s="11"/>
      <c r="J10" s="11"/>
      <c r="K10" s="11"/>
      <c r="L10" s="11"/>
      <c r="M10" s="11"/>
    </row>
    <row r="11" spans="2:13" ht="15.75" customHeight="1" x14ac:dyDescent="0.45">
      <c r="B11" s="10" t="s">
        <v>80</v>
      </c>
      <c r="C11" s="10"/>
      <c r="E11" s="10" t="s">
        <v>81</v>
      </c>
      <c r="F11" s="10"/>
      <c r="H11" s="7" t="s">
        <v>82</v>
      </c>
      <c r="I11" s="7"/>
    </row>
    <row r="12" spans="2:13" ht="30" customHeight="1" x14ac:dyDescent="0.45">
      <c r="B12" s="6">
        <f>IFERROR(COUNTIF('8. Checklist'!$E$6:$E$265,"Complete")/MAX(1,COUNTA('8. Checklist'!$A$6:$A$265)-COUNTIF('8. Checklist'!$E$6:$E$265,"N/A")),0)</f>
        <v>0</v>
      </c>
      <c r="C12" s="6"/>
      <c r="E12" s="6">
        <f>IFERROR(COUNTIFS('8. Checklist'!$D$6:$D$265,"P1",'8. Checklist'!$E$6:$E$265,"Complete")/MAX(1,COUNTIF('8. Checklist'!$D$6:$D$265,"P1")),0)</f>
        <v>0</v>
      </c>
      <c r="F12" s="6"/>
      <c r="H12" s="5">
        <f>COUNTIFS('8. Checklist'!$D$6:$D$265,"P1",'8. Checklist'!$E$6:$E$265,"&lt;&gt;Complete",'8. Checklist'!$E$6:$E$265,"&lt;&gt;N/A")</f>
        <v>83</v>
      </c>
      <c r="I12" s="5"/>
    </row>
    <row r="13" spans="2:13" ht="13.5" customHeight="1" x14ac:dyDescent="0.45">
      <c r="B13" s="8" t="s">
        <v>83</v>
      </c>
      <c r="C13" s="8"/>
      <c r="E13" s="8" t="s">
        <v>84</v>
      </c>
      <c r="F13" s="8"/>
      <c r="H13" s="4" t="s">
        <v>85</v>
      </c>
      <c r="I13" s="4"/>
    </row>
    <row r="15" spans="2:13" ht="21.75" customHeight="1" x14ac:dyDescent="0.45">
      <c r="B15" s="11" t="s">
        <v>86</v>
      </c>
      <c r="C15" s="11"/>
      <c r="D15" s="11"/>
      <c r="E15" s="11"/>
      <c r="F15" s="11"/>
      <c r="G15" s="11"/>
      <c r="H15" s="11"/>
      <c r="I15" s="11"/>
      <c r="J15" s="11"/>
      <c r="K15" s="11"/>
      <c r="L15" s="11"/>
      <c r="M15" s="11"/>
    </row>
    <row r="16" spans="2:13" ht="15.75" customHeight="1" x14ac:dyDescent="0.45">
      <c r="B16" s="10" t="s">
        <v>87</v>
      </c>
      <c r="C16" s="10"/>
      <c r="E16" s="10" t="s">
        <v>88</v>
      </c>
      <c r="F16" s="10"/>
      <c r="H16" s="7" t="s">
        <v>89</v>
      </c>
      <c r="I16" s="7"/>
    </row>
    <row r="17" spans="2:14" ht="30" customHeight="1" x14ac:dyDescent="0.45">
      <c r="B17" s="3">
        <f>'20. Maturity'!$D$17</f>
        <v>0</v>
      </c>
      <c r="C17" s="3"/>
      <c r="E17" s="3">
        <f>'20. Maturity'!$F$17</f>
        <v>3</v>
      </c>
      <c r="F17" s="3"/>
      <c r="H17" s="5">
        <f ca="1">COUNTIF('1. AI Systems'!$Q$6:$Q$65,"OVERDUE")+COUNTIF('19. Evidence Register'!$H$6:$H$85,"STALE")</f>
        <v>0</v>
      </c>
      <c r="I17" s="5"/>
    </row>
    <row r="18" spans="2:14" ht="13.5" customHeight="1" x14ac:dyDescent="0.45">
      <c r="B18" s="8" t="s">
        <v>90</v>
      </c>
      <c r="C18" s="8"/>
      <c r="E18" s="8" t="s">
        <v>91</v>
      </c>
      <c r="F18" s="8"/>
      <c r="H18" s="4" t="s">
        <v>92</v>
      </c>
      <c r="I18" s="4"/>
    </row>
    <row r="20" spans="2:14" ht="21.75" customHeight="1" x14ac:dyDescent="0.45">
      <c r="B20" s="11" t="s">
        <v>93</v>
      </c>
      <c r="C20" s="11"/>
      <c r="D20" s="11"/>
      <c r="E20" s="11"/>
      <c r="F20" s="11"/>
      <c r="G20" s="11"/>
      <c r="H20" s="11"/>
      <c r="I20" s="11"/>
      <c r="J20" s="11"/>
      <c r="K20" s="11"/>
      <c r="L20" s="11"/>
      <c r="M20" s="11"/>
    </row>
    <row r="21" spans="2:14" x14ac:dyDescent="0.45">
      <c r="K21" s="28" t="s">
        <v>94</v>
      </c>
      <c r="L21" s="28" t="s">
        <v>95</v>
      </c>
      <c r="M21" s="28" t="s">
        <v>96</v>
      </c>
      <c r="N21" s="28" t="s">
        <v>97</v>
      </c>
    </row>
    <row r="22" spans="2:14" x14ac:dyDescent="0.45">
      <c r="K22" s="29" t="s">
        <v>98</v>
      </c>
      <c r="L22" s="30">
        <f>COUNTIF('8. Checklist'!$B$6:$B$265,$K22)</f>
        <v>20</v>
      </c>
      <c r="M22" s="30">
        <f>COUNTIFS('8. Checklist'!$B$6:$B$265,$K22,'8. Checklist'!$E$6:$E$265,"Complete")</f>
        <v>0</v>
      </c>
      <c r="N22" s="31">
        <f t="shared" ref="N22:N38" si="0">IFERROR($M22/MAX(1,$L22),0)</f>
        <v>0</v>
      </c>
    </row>
    <row r="23" spans="2:14" x14ac:dyDescent="0.45">
      <c r="K23" s="29" t="s">
        <v>99</v>
      </c>
      <c r="L23" s="30">
        <f>COUNTIF('8. Checklist'!$B$6:$B$265,$K23)</f>
        <v>20</v>
      </c>
      <c r="M23" s="30">
        <f>COUNTIFS('8. Checklist'!$B$6:$B$265,$K23,'8. Checklist'!$E$6:$E$265,"Complete")</f>
        <v>0</v>
      </c>
      <c r="N23" s="31">
        <f t="shared" si="0"/>
        <v>0</v>
      </c>
    </row>
    <row r="24" spans="2:14" x14ac:dyDescent="0.45">
      <c r="K24" s="29" t="s">
        <v>100</v>
      </c>
      <c r="L24" s="30">
        <f>COUNTIF('8. Checklist'!$B$6:$B$265,$K24)</f>
        <v>24</v>
      </c>
      <c r="M24" s="30">
        <f>COUNTIFS('8. Checklist'!$B$6:$B$265,$K24,'8. Checklist'!$E$6:$E$265,"Complete")</f>
        <v>0</v>
      </c>
      <c r="N24" s="31">
        <f t="shared" si="0"/>
        <v>0</v>
      </c>
    </row>
    <row r="25" spans="2:14" x14ac:dyDescent="0.45">
      <c r="K25" s="29" t="s">
        <v>101</v>
      </c>
      <c r="L25" s="30">
        <f>COUNTIF('8. Checklist'!$B$6:$B$265,$K25)</f>
        <v>16</v>
      </c>
      <c r="M25" s="30">
        <f>COUNTIFS('8. Checklist'!$B$6:$B$265,$K25,'8. Checklist'!$E$6:$E$265,"Complete")</f>
        <v>0</v>
      </c>
      <c r="N25" s="31">
        <f t="shared" si="0"/>
        <v>0</v>
      </c>
    </row>
    <row r="26" spans="2:14" x14ac:dyDescent="0.45">
      <c r="K26" s="29" t="s">
        <v>102</v>
      </c>
      <c r="L26" s="30">
        <f>COUNTIF('8. Checklist'!$B$6:$B$265,$K26)</f>
        <v>20</v>
      </c>
      <c r="M26" s="30">
        <f>COUNTIFS('8. Checklist'!$B$6:$B$265,$K26,'8. Checklist'!$E$6:$E$265,"Complete")</f>
        <v>0</v>
      </c>
      <c r="N26" s="31">
        <f t="shared" si="0"/>
        <v>0</v>
      </c>
    </row>
    <row r="27" spans="2:14" x14ac:dyDescent="0.45">
      <c r="K27" s="29" t="s">
        <v>103</v>
      </c>
      <c r="L27" s="30">
        <f>COUNTIF('8. Checklist'!$B$6:$B$265,$K27)</f>
        <v>20</v>
      </c>
      <c r="M27" s="30">
        <f>COUNTIFS('8. Checklist'!$B$6:$B$265,$K27,'8. Checklist'!$E$6:$E$265,"Complete")</f>
        <v>0</v>
      </c>
      <c r="N27" s="31">
        <f t="shared" si="0"/>
        <v>0</v>
      </c>
    </row>
    <row r="28" spans="2:14" x14ac:dyDescent="0.45">
      <c r="K28" s="29" t="s">
        <v>104</v>
      </c>
      <c r="L28" s="30">
        <f>COUNTIF('8. Checklist'!$B$6:$B$265,$K28)</f>
        <v>16</v>
      </c>
      <c r="M28" s="30">
        <f>COUNTIFS('8. Checklist'!$B$6:$B$265,$K28,'8. Checklist'!$E$6:$E$265,"Complete")</f>
        <v>0</v>
      </c>
      <c r="N28" s="31">
        <f t="shared" si="0"/>
        <v>0</v>
      </c>
    </row>
    <row r="29" spans="2:14" x14ac:dyDescent="0.45">
      <c r="K29" s="29" t="s">
        <v>105</v>
      </c>
      <c r="L29" s="30">
        <f>COUNTIF('8. Checklist'!$B$6:$B$265,$K29)</f>
        <v>12</v>
      </c>
      <c r="M29" s="30">
        <f>COUNTIFS('8. Checklist'!$B$6:$B$265,$K29,'8. Checklist'!$E$6:$E$265,"Complete")</f>
        <v>0</v>
      </c>
      <c r="N29" s="31">
        <f t="shared" si="0"/>
        <v>0</v>
      </c>
    </row>
    <row r="30" spans="2:14" x14ac:dyDescent="0.45">
      <c r="K30" s="29" t="s">
        <v>106</v>
      </c>
      <c r="L30" s="30">
        <f>COUNTIF('8. Checklist'!$B$6:$B$265,$K30)</f>
        <v>16</v>
      </c>
      <c r="M30" s="30">
        <f>COUNTIFS('8. Checklist'!$B$6:$B$265,$K30,'8. Checklist'!$E$6:$E$265,"Complete")</f>
        <v>0</v>
      </c>
      <c r="N30" s="31">
        <f t="shared" si="0"/>
        <v>0</v>
      </c>
    </row>
    <row r="31" spans="2:14" x14ac:dyDescent="0.45">
      <c r="K31" s="29" t="s">
        <v>107</v>
      </c>
      <c r="L31" s="30">
        <f>COUNTIF('8. Checklist'!$B$6:$B$265,$K31)</f>
        <v>14</v>
      </c>
      <c r="M31" s="30">
        <f>COUNTIFS('8. Checklist'!$B$6:$B$265,$K31,'8. Checklist'!$E$6:$E$265,"Complete")</f>
        <v>0</v>
      </c>
      <c r="N31" s="31">
        <f t="shared" si="0"/>
        <v>0</v>
      </c>
    </row>
    <row r="32" spans="2:14" x14ac:dyDescent="0.45">
      <c r="K32" s="29" t="s">
        <v>108</v>
      </c>
      <c r="L32" s="30">
        <f>COUNTIF('8. Checklist'!$B$6:$B$265,$K32)</f>
        <v>12</v>
      </c>
      <c r="M32" s="30">
        <f>COUNTIFS('8. Checklist'!$B$6:$B$265,$K32,'8. Checklist'!$E$6:$E$265,"Complete")</f>
        <v>0</v>
      </c>
      <c r="N32" s="31">
        <f t="shared" si="0"/>
        <v>0</v>
      </c>
    </row>
    <row r="33" spans="2:14" x14ac:dyDescent="0.45">
      <c r="K33" s="29" t="s">
        <v>109</v>
      </c>
      <c r="L33" s="30">
        <f>COUNTIF('8. Checklist'!$B$6:$B$265,$K33)</f>
        <v>14</v>
      </c>
      <c r="M33" s="30">
        <f>COUNTIFS('8. Checklist'!$B$6:$B$265,$K33,'8. Checklist'!$E$6:$E$265,"Complete")</f>
        <v>0</v>
      </c>
      <c r="N33" s="31">
        <f t="shared" si="0"/>
        <v>0</v>
      </c>
    </row>
    <row r="34" spans="2:14" x14ac:dyDescent="0.45">
      <c r="K34" s="29" t="s">
        <v>110</v>
      </c>
      <c r="L34" s="30">
        <f>COUNTIF('8. Checklist'!$B$6:$B$265,$K34)</f>
        <v>14</v>
      </c>
      <c r="M34" s="30">
        <f>COUNTIFS('8. Checklist'!$B$6:$B$265,$K34,'8. Checklist'!$E$6:$E$265,"Complete")</f>
        <v>0</v>
      </c>
      <c r="N34" s="31">
        <f t="shared" si="0"/>
        <v>0</v>
      </c>
    </row>
    <row r="35" spans="2:14" x14ac:dyDescent="0.45">
      <c r="K35" s="29" t="s">
        <v>111</v>
      </c>
      <c r="L35" s="30">
        <f>COUNTIF('8. Checklist'!$B$6:$B$265,$K35)</f>
        <v>8</v>
      </c>
      <c r="M35" s="30">
        <f>COUNTIFS('8. Checklist'!$B$6:$B$265,$K35,'8. Checklist'!$E$6:$E$265,"Complete")</f>
        <v>0</v>
      </c>
      <c r="N35" s="31">
        <f t="shared" si="0"/>
        <v>0</v>
      </c>
    </row>
    <row r="36" spans="2:14" x14ac:dyDescent="0.45">
      <c r="K36" s="29" t="s">
        <v>112</v>
      </c>
      <c r="L36" s="30">
        <f>COUNTIF('8. Checklist'!$B$6:$B$265,$K36)</f>
        <v>8</v>
      </c>
      <c r="M36" s="30">
        <f>COUNTIFS('8. Checklist'!$B$6:$B$265,$K36,'8. Checklist'!$E$6:$E$265,"Complete")</f>
        <v>0</v>
      </c>
      <c r="N36" s="31">
        <f t="shared" si="0"/>
        <v>0</v>
      </c>
    </row>
    <row r="37" spans="2:14" x14ac:dyDescent="0.45">
      <c r="K37" s="29" t="s">
        <v>113</v>
      </c>
      <c r="L37" s="30">
        <f>COUNTIF('8. Checklist'!$B$6:$B$265,$K37)</f>
        <v>12</v>
      </c>
      <c r="M37" s="30">
        <f>COUNTIFS('8. Checklist'!$B$6:$B$265,$K37,'8. Checklist'!$E$6:$E$265,"Complete")</f>
        <v>0</v>
      </c>
      <c r="N37" s="31">
        <f t="shared" si="0"/>
        <v>0</v>
      </c>
    </row>
    <row r="38" spans="2:14" x14ac:dyDescent="0.45">
      <c r="K38" s="29" t="s">
        <v>114</v>
      </c>
      <c r="L38" s="30">
        <f>COUNTIF('8. Checklist'!$B$6:$B$265,$K38)</f>
        <v>14</v>
      </c>
      <c r="M38" s="30">
        <f>COUNTIFS('8. Checklist'!$B$6:$B$265,$K38,'8. Checklist'!$E$6:$E$265,"Complete")</f>
        <v>0</v>
      </c>
      <c r="N38" s="31">
        <f t="shared" si="0"/>
        <v>0</v>
      </c>
    </row>
    <row r="40" spans="2:14" ht="21.75" customHeight="1" x14ac:dyDescent="0.45">
      <c r="B40" s="2" t="s">
        <v>115</v>
      </c>
      <c r="C40" s="2"/>
      <c r="D40" s="2"/>
      <c r="E40" s="2"/>
      <c r="F40" s="2"/>
      <c r="G40" s="2"/>
      <c r="H40" s="2"/>
      <c r="I40" s="2"/>
    </row>
    <row r="41" spans="2:14" ht="42" customHeight="1" x14ac:dyDescent="0.45">
      <c r="B41" s="1" t="str">
        <f>IF(COUNTA('1. AI Systems'!$B$6:$B$65)=0,"1. Start on the AI Systems tab: list every AI system you run, including shadow AI. You cannot govern what you have not mapped.",IF(COUNTIFS('8. Checklist'!$D$6:$D$265,"P1",'8. Checklist'!$E$6:$E$265,"&lt;&gt;Complete",'8. Checklist'!$E$6:$E$265,"&lt;&gt;N/A")&gt;0,"2. Open the Gap Report tab. "&amp;COUNTIFS('8. Checklist'!$D$6:$D$265,"P1",'8. Checklist'!$E$6:$E$265,"&lt;&gt;Complete",'8. Checklist'!$E$6:$E$265,"&lt;&gt;N/A")&amp;" P1 foundations are still open. Assign an owner and a target date to each on the Checklist.",IF('20. Maturity'!$D$17&lt;3,"3. Foundations are done. Score the Maturity tab honestly and close the gap to Level 3, the point at which the programme becomes defensible.","4. You are at Level 3 or above. Move to assurance: internal audit, evidence freshness, and conformity preparation ahead of 2 December 2027.")))</f>
        <v>2. Open the Gap Report tab. 83 P1 foundations are still open. Assign an owner and a target date to each on the Checklist.</v>
      </c>
      <c r="C41" s="1"/>
      <c r="D41" s="1"/>
      <c r="E41" s="1"/>
      <c r="F41" s="1"/>
      <c r="G41" s="1"/>
      <c r="H41" s="1"/>
      <c r="I41" s="1"/>
    </row>
    <row r="43" spans="2:14" ht="63.75" customHeight="1" x14ac:dyDescent="0.45">
      <c r="B43" s="121" t="s">
        <v>116</v>
      </c>
      <c r="C43" s="121"/>
      <c r="D43" s="121"/>
      <c r="E43" s="121"/>
      <c r="F43" s="121"/>
      <c r="G43" s="121"/>
      <c r="H43" s="121"/>
      <c r="I43" s="121"/>
    </row>
    <row r="48" spans="2:14" ht="21.75" customHeight="1" x14ac:dyDescent="0.45">
      <c r="B48" s="11" t="s">
        <v>117</v>
      </c>
      <c r="C48" s="11"/>
      <c r="D48" s="11"/>
      <c r="E48" s="11"/>
      <c r="F48" s="11"/>
      <c r="G48" s="11"/>
      <c r="H48" s="11"/>
      <c r="I48" s="11"/>
      <c r="J48" s="11"/>
      <c r="K48" s="11"/>
      <c r="L48" s="11"/>
      <c r="M48" s="11"/>
    </row>
    <row r="49" spans="2:13" ht="15.75" customHeight="1" x14ac:dyDescent="0.45">
      <c r="B49" s="10" t="s">
        <v>118</v>
      </c>
      <c r="C49" s="10"/>
      <c r="E49" s="7" t="s">
        <v>119</v>
      </c>
      <c r="F49" s="7"/>
      <c r="H49" s="10" t="s">
        <v>120</v>
      </c>
      <c r="I49" s="10"/>
    </row>
    <row r="50" spans="2:13" ht="30" customHeight="1" x14ac:dyDescent="0.45">
      <c r="B50" s="9">
        <f>COUNTIF('11. Risk Register'!$K$6:$K$65,"&gt;=15")</f>
        <v>0</v>
      </c>
      <c r="C50" s="9"/>
      <c r="E50" s="5">
        <f>COUNTIF('14. Incident Log'!$O$6:$O$55,"Open")+COUNTIF('14. Incident Log'!$O$6:$O$55,"Contained")</f>
        <v>0</v>
      </c>
      <c r="F50" s="5"/>
      <c r="H50" s="9">
        <f ca="1">COUNTIF('15. Vendor Register'!$O$6:$O$55,"OVERDUE")</f>
        <v>0</v>
      </c>
      <c r="I50" s="9"/>
    </row>
    <row r="51" spans="2:13" ht="13.5" customHeight="1" x14ac:dyDescent="0.45">
      <c r="B51" s="8" t="s">
        <v>121</v>
      </c>
      <c r="C51" s="8"/>
      <c r="E51" s="4" t="s">
        <v>122</v>
      </c>
      <c r="F51" s="4"/>
      <c r="H51" s="8" t="s">
        <v>123</v>
      </c>
      <c r="I51" s="8"/>
    </row>
    <row r="53" spans="2:13" ht="21.75" customHeight="1" x14ac:dyDescent="0.45">
      <c r="B53" s="11" t="s">
        <v>124</v>
      </c>
      <c r="C53" s="11"/>
      <c r="D53" s="11"/>
      <c r="E53" s="11"/>
      <c r="F53" s="11"/>
      <c r="G53" s="11"/>
      <c r="H53" s="11"/>
      <c r="I53" s="11"/>
      <c r="J53" s="11"/>
      <c r="K53" s="11"/>
      <c r="L53" s="11"/>
      <c r="M53" s="11"/>
    </row>
    <row r="54" spans="2:13" ht="15.75" customHeight="1" x14ac:dyDescent="0.45">
      <c r="B54" s="10" t="s">
        <v>125</v>
      </c>
      <c r="C54" s="10"/>
      <c r="E54" s="10" t="s">
        <v>126</v>
      </c>
      <c r="F54" s="10"/>
      <c r="H54" s="7" t="s">
        <v>127</v>
      </c>
      <c r="I54" s="7"/>
    </row>
    <row r="55" spans="2:13" ht="30" customHeight="1" x14ac:dyDescent="0.45">
      <c r="B55" s="9">
        <f>COUNTIF('2. Jurisdiction Atlas'!$J$6:$J$24,"APPLIES")</f>
        <v>0</v>
      </c>
      <c r="C55" s="9"/>
      <c r="E55" s="9">
        <f>COUNTIF('2. Jurisdiction Atlas'!$J$6:$J$24,"MONITOR")</f>
        <v>0</v>
      </c>
      <c r="F55" s="9"/>
      <c r="H55" s="5">
        <f>COUNTIF('18. RACI'!$P$6:$P$23,"FIX: need exactly one A")</f>
        <v>18</v>
      </c>
      <c r="I55" s="5"/>
    </row>
    <row r="56" spans="2:13" ht="13.5" customHeight="1" x14ac:dyDescent="0.45">
      <c r="B56" s="8" t="s">
        <v>128</v>
      </c>
      <c r="C56" s="8"/>
      <c r="E56" s="8" t="s">
        <v>129</v>
      </c>
      <c r="F56" s="8"/>
      <c r="H56" s="4" t="s">
        <v>130</v>
      </c>
      <c r="I56" s="4"/>
    </row>
  </sheetData>
  <mergeCells count="56">
    <mergeCell ref="B55:C55"/>
    <mergeCell ref="E55:F55"/>
    <mergeCell ref="H55:I55"/>
    <mergeCell ref="B56:C56"/>
    <mergeCell ref="E56:F56"/>
    <mergeCell ref="H56:I56"/>
    <mergeCell ref="B51:C51"/>
    <mergeCell ref="E51:F51"/>
    <mergeCell ref="H51:I51"/>
    <mergeCell ref="B53:M53"/>
    <mergeCell ref="B54:C54"/>
    <mergeCell ref="E54:F54"/>
    <mergeCell ref="H54:I54"/>
    <mergeCell ref="B49:C49"/>
    <mergeCell ref="E49:F49"/>
    <mergeCell ref="H49:I49"/>
    <mergeCell ref="B50:C50"/>
    <mergeCell ref="E50:F50"/>
    <mergeCell ref="H50:I50"/>
    <mergeCell ref="B20:M20"/>
    <mergeCell ref="B40:I40"/>
    <mergeCell ref="B41:I41"/>
    <mergeCell ref="B43:I43"/>
    <mergeCell ref="B48:M48"/>
    <mergeCell ref="B17:C17"/>
    <mergeCell ref="E17:F17"/>
    <mergeCell ref="H17:I17"/>
    <mergeCell ref="B18:C18"/>
    <mergeCell ref="E18:F18"/>
    <mergeCell ref="H18:I18"/>
    <mergeCell ref="B13:C13"/>
    <mergeCell ref="E13:F13"/>
    <mergeCell ref="H13:I13"/>
    <mergeCell ref="B15:M15"/>
    <mergeCell ref="B16:C16"/>
    <mergeCell ref="E16:F16"/>
    <mergeCell ref="H16:I16"/>
    <mergeCell ref="B10:M10"/>
    <mergeCell ref="B11:C11"/>
    <mergeCell ref="E11:F11"/>
    <mergeCell ref="H11:I11"/>
    <mergeCell ref="B12:C12"/>
    <mergeCell ref="E12:F12"/>
    <mergeCell ref="H12:I12"/>
    <mergeCell ref="B7:C7"/>
    <mergeCell ref="E7:F7"/>
    <mergeCell ref="H7:I7"/>
    <mergeCell ref="B8:C8"/>
    <mergeCell ref="E8:F8"/>
    <mergeCell ref="H8:I8"/>
    <mergeCell ref="B2:M2"/>
    <mergeCell ref="B3:M3"/>
    <mergeCell ref="B5:M5"/>
    <mergeCell ref="B6:C6"/>
    <mergeCell ref="E6:F6"/>
    <mergeCell ref="H6:I6"/>
  </mergeCells>
  <conditionalFormatting sqref="N22:N38">
    <cfRule type="dataBar" priority="2">
      <dataBar>
        <cfvo type="num" val="0"/>
        <cfvo type="num" val="1"/>
        <color rgb="FF1E6B4F"/>
      </dataBar>
      <extLst>
        <ext xmlns:x14="http://schemas.microsoft.com/office/spreadsheetml/2009/9/main" uri="{B025F937-C7B1-47D3-B67F-A62EFF666E3E}">
          <x14:id>{87B6FA5D-DA70-44E9-8610-3410ABD9206F}</x14:id>
        </ext>
      </extLst>
    </cfRule>
  </conditionalFormatting>
  <printOptions horizontalCentered="1"/>
  <pageMargins left="0.75" right="0.75" top="1" bottom="1" header="0.511811023622047" footer="0.511811023622047"/>
  <pageSetup fitToHeight="0" orientation="landscape" horizontalDpi="300" verticalDpi="300"/>
  <drawing r:id="rId1"/>
  <extLst>
    <ext xmlns:x14="http://schemas.microsoft.com/office/spreadsheetml/2009/9/main" uri="{78C0D931-6437-407d-A8EE-F0AAD7539E65}">
      <x14:conditionalFormattings>
        <x14:conditionalFormatting xmlns:xm="http://schemas.microsoft.com/office/excel/2006/main">
          <x14:cfRule type="dataBar" id="{87B6FA5D-DA70-44E9-8610-3410ABD9206F}">
            <x14:dataBar axisPosition="none">
              <x14:cfvo type="num">
                <xm:f>0</xm:f>
              </x14:cfvo>
              <x14:cfvo type="num">
                <xm:f>1</xm:f>
              </x14:cfvo>
              <x14:negativeFillColor rgb="FF1E6B4F"/>
            </x14:dataBar>
          </x14:cfRule>
          <xm:sqref>N22:N38</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E8641C"/>
    <pageSetUpPr fitToPage="1"/>
  </sheetPr>
  <dimension ref="A1:P23"/>
  <sheetViews>
    <sheetView showGridLines="0" zoomScaleNormal="100" workbookViewId="0">
      <pane xSplit="1" ySplit="5" topLeftCell="B6" activePane="bottomRight" state="frozen"/>
      <selection pane="topRight" activeCell="B1" sqref="B1"/>
      <selection pane="bottomLeft" activeCell="A6" sqref="A6"/>
      <selection pane="bottomRight"/>
    </sheetView>
  </sheetViews>
  <sheetFormatPr defaultColWidth="8.6640625" defaultRowHeight="14.25" x14ac:dyDescent="0.45"/>
  <cols>
    <col min="1" max="1" width="42" customWidth="1"/>
    <col min="2" max="15" width="10" customWidth="1"/>
    <col min="16" max="16" width="20" customWidth="1"/>
  </cols>
  <sheetData>
    <row r="1" spans="1:16" ht="30" customHeight="1" x14ac:dyDescent="0.45">
      <c r="A1" s="122" t="s">
        <v>1540</v>
      </c>
      <c r="B1" s="122"/>
      <c r="C1" s="122"/>
      <c r="D1" s="122"/>
      <c r="E1" s="122"/>
      <c r="F1" s="122"/>
      <c r="G1" s="122"/>
      <c r="H1" s="122"/>
      <c r="I1" s="122"/>
      <c r="J1" s="122"/>
      <c r="K1" s="122"/>
      <c r="L1" s="122"/>
      <c r="M1" s="122"/>
      <c r="N1" s="122"/>
      <c r="O1" s="122"/>
      <c r="P1" s="122"/>
    </row>
    <row r="2" spans="1:16" ht="18" customHeight="1" x14ac:dyDescent="0.45">
      <c r="A2" s="123" t="s">
        <v>1541</v>
      </c>
      <c r="B2" s="123"/>
      <c r="C2" s="123"/>
      <c r="D2" s="123"/>
      <c r="E2" s="123"/>
      <c r="F2" s="123"/>
      <c r="G2" s="123"/>
      <c r="H2" s="123"/>
      <c r="I2" s="123"/>
      <c r="J2" s="123"/>
      <c r="K2" s="123"/>
      <c r="L2" s="123"/>
      <c r="M2" s="123"/>
      <c r="N2" s="123"/>
      <c r="O2" s="123"/>
      <c r="P2" s="123"/>
    </row>
    <row r="3" spans="1:16" ht="21.75" customHeight="1" x14ac:dyDescent="0.45">
      <c r="A3" s="124" t="s">
        <v>1542</v>
      </c>
      <c r="B3" s="124"/>
      <c r="C3" s="124"/>
      <c r="D3" s="124"/>
      <c r="E3" s="124"/>
      <c r="F3" s="124"/>
      <c r="G3" s="124"/>
      <c r="H3" s="124"/>
      <c r="I3" s="124"/>
      <c r="J3" s="124"/>
      <c r="K3" s="124"/>
      <c r="L3" s="124"/>
      <c r="M3" s="124"/>
      <c r="N3" s="124"/>
      <c r="O3" s="124"/>
      <c r="P3" s="124"/>
    </row>
    <row r="5" spans="1:16" ht="43.5" customHeight="1" x14ac:dyDescent="0.45">
      <c r="A5" s="32" t="s">
        <v>1543</v>
      </c>
      <c r="B5" s="32" t="s">
        <v>1544</v>
      </c>
      <c r="C5" s="32" t="s">
        <v>1545</v>
      </c>
      <c r="D5" s="32" t="s">
        <v>1546</v>
      </c>
      <c r="E5" s="32" t="s">
        <v>1547</v>
      </c>
      <c r="F5" s="32" t="s">
        <v>445</v>
      </c>
      <c r="G5" s="32" t="s">
        <v>1548</v>
      </c>
      <c r="H5" s="32" t="s">
        <v>1549</v>
      </c>
      <c r="I5" s="32" t="s">
        <v>1550</v>
      </c>
      <c r="J5" s="32" t="s">
        <v>459</v>
      </c>
      <c r="K5" s="32" t="s">
        <v>153</v>
      </c>
      <c r="L5" s="32" t="s">
        <v>392</v>
      </c>
      <c r="M5" s="32" t="s">
        <v>1551</v>
      </c>
      <c r="N5" s="32" t="s">
        <v>483</v>
      </c>
      <c r="O5" s="32" t="s">
        <v>527</v>
      </c>
      <c r="P5" s="32" t="s">
        <v>1552</v>
      </c>
    </row>
    <row r="6" spans="1:16" x14ac:dyDescent="0.45">
      <c r="A6" s="57" t="s">
        <v>1553</v>
      </c>
      <c r="B6" s="46"/>
      <c r="C6" s="46"/>
      <c r="D6" s="46"/>
      <c r="E6" s="46"/>
      <c r="F6" s="46"/>
      <c r="G6" s="46"/>
      <c r="H6" s="46"/>
      <c r="I6" s="46"/>
      <c r="J6" s="46"/>
      <c r="K6" s="46"/>
      <c r="L6" s="46"/>
      <c r="M6" s="46"/>
      <c r="N6" s="46"/>
      <c r="O6" s="46"/>
      <c r="P6" s="47" t="str">
        <f t="shared" ref="P6:P23" si="0">IF(COUNTIF($B6:$O6,"A")=1,"OK","FIX: need exactly one A")</f>
        <v>FIX: need exactly one A</v>
      </c>
    </row>
    <row r="7" spans="1:16" x14ac:dyDescent="0.45">
      <c r="A7" s="57" t="s">
        <v>1554</v>
      </c>
      <c r="B7" s="46"/>
      <c r="C7" s="46"/>
      <c r="D7" s="46"/>
      <c r="E7" s="46"/>
      <c r="F7" s="46"/>
      <c r="G7" s="46"/>
      <c r="H7" s="46"/>
      <c r="I7" s="46"/>
      <c r="J7" s="46"/>
      <c r="K7" s="46"/>
      <c r="L7" s="46"/>
      <c r="M7" s="46"/>
      <c r="N7" s="46"/>
      <c r="O7" s="46"/>
      <c r="P7" s="47" t="str">
        <f t="shared" si="0"/>
        <v>FIX: need exactly one A</v>
      </c>
    </row>
    <row r="8" spans="1:16" x14ac:dyDescent="0.45">
      <c r="A8" s="57" t="s">
        <v>1555</v>
      </c>
      <c r="B8" s="46"/>
      <c r="C8" s="46"/>
      <c r="D8" s="46"/>
      <c r="E8" s="46"/>
      <c r="F8" s="46"/>
      <c r="G8" s="46"/>
      <c r="H8" s="46"/>
      <c r="I8" s="46"/>
      <c r="J8" s="46"/>
      <c r="K8" s="46"/>
      <c r="L8" s="46"/>
      <c r="M8" s="46"/>
      <c r="N8" s="46"/>
      <c r="O8" s="46"/>
      <c r="P8" s="47" t="str">
        <f t="shared" si="0"/>
        <v>FIX: need exactly one A</v>
      </c>
    </row>
    <row r="9" spans="1:16" x14ac:dyDescent="0.45">
      <c r="A9" s="57" t="s">
        <v>1556</v>
      </c>
      <c r="B9" s="46"/>
      <c r="C9" s="46"/>
      <c r="D9" s="46"/>
      <c r="E9" s="46"/>
      <c r="F9" s="46"/>
      <c r="G9" s="46"/>
      <c r="H9" s="46"/>
      <c r="I9" s="46"/>
      <c r="J9" s="46"/>
      <c r="K9" s="46"/>
      <c r="L9" s="46"/>
      <c r="M9" s="46"/>
      <c r="N9" s="46"/>
      <c r="O9" s="46"/>
      <c r="P9" s="47" t="str">
        <f t="shared" si="0"/>
        <v>FIX: need exactly one A</v>
      </c>
    </row>
    <row r="10" spans="1:16" x14ac:dyDescent="0.45">
      <c r="A10" s="57" t="s">
        <v>1557</v>
      </c>
      <c r="B10" s="46"/>
      <c r="C10" s="46"/>
      <c r="D10" s="46"/>
      <c r="E10" s="46"/>
      <c r="F10" s="46"/>
      <c r="G10" s="46"/>
      <c r="H10" s="46"/>
      <c r="I10" s="46"/>
      <c r="J10" s="46"/>
      <c r="K10" s="46"/>
      <c r="L10" s="46"/>
      <c r="M10" s="46"/>
      <c r="N10" s="46"/>
      <c r="O10" s="46"/>
      <c r="P10" s="47" t="str">
        <f t="shared" si="0"/>
        <v>FIX: need exactly one A</v>
      </c>
    </row>
    <row r="11" spans="1:16" x14ac:dyDescent="0.45">
      <c r="A11" s="57" t="s">
        <v>1558</v>
      </c>
      <c r="B11" s="46"/>
      <c r="C11" s="46"/>
      <c r="D11" s="46"/>
      <c r="E11" s="46"/>
      <c r="F11" s="46"/>
      <c r="G11" s="46"/>
      <c r="H11" s="46"/>
      <c r="I11" s="46"/>
      <c r="J11" s="46"/>
      <c r="K11" s="46"/>
      <c r="L11" s="46"/>
      <c r="M11" s="46"/>
      <c r="N11" s="46"/>
      <c r="O11" s="46"/>
      <c r="P11" s="47" t="str">
        <f t="shared" si="0"/>
        <v>FIX: need exactly one A</v>
      </c>
    </row>
    <row r="12" spans="1:16" x14ac:dyDescent="0.45">
      <c r="A12" s="57" t="s">
        <v>1559</v>
      </c>
      <c r="B12" s="46"/>
      <c r="C12" s="46"/>
      <c r="D12" s="46"/>
      <c r="E12" s="46"/>
      <c r="F12" s="46"/>
      <c r="G12" s="46"/>
      <c r="H12" s="46"/>
      <c r="I12" s="46"/>
      <c r="J12" s="46"/>
      <c r="K12" s="46"/>
      <c r="L12" s="46"/>
      <c r="M12" s="46"/>
      <c r="N12" s="46"/>
      <c r="O12" s="46"/>
      <c r="P12" s="47" t="str">
        <f t="shared" si="0"/>
        <v>FIX: need exactly one A</v>
      </c>
    </row>
    <row r="13" spans="1:16" x14ac:dyDescent="0.45">
      <c r="A13" s="57" t="s">
        <v>1560</v>
      </c>
      <c r="B13" s="46"/>
      <c r="C13" s="46"/>
      <c r="D13" s="46"/>
      <c r="E13" s="46"/>
      <c r="F13" s="46"/>
      <c r="G13" s="46"/>
      <c r="H13" s="46"/>
      <c r="I13" s="46"/>
      <c r="J13" s="46"/>
      <c r="K13" s="46"/>
      <c r="L13" s="46"/>
      <c r="M13" s="46"/>
      <c r="N13" s="46"/>
      <c r="O13" s="46"/>
      <c r="P13" s="47" t="str">
        <f t="shared" si="0"/>
        <v>FIX: need exactly one A</v>
      </c>
    </row>
    <row r="14" spans="1:16" x14ac:dyDescent="0.45">
      <c r="A14" s="57" t="s">
        <v>1561</v>
      </c>
      <c r="B14" s="46"/>
      <c r="C14" s="46"/>
      <c r="D14" s="46"/>
      <c r="E14" s="46"/>
      <c r="F14" s="46"/>
      <c r="G14" s="46"/>
      <c r="H14" s="46"/>
      <c r="I14" s="46"/>
      <c r="J14" s="46"/>
      <c r="K14" s="46"/>
      <c r="L14" s="46"/>
      <c r="M14" s="46"/>
      <c r="N14" s="46"/>
      <c r="O14" s="46"/>
      <c r="P14" s="47" t="str">
        <f t="shared" si="0"/>
        <v>FIX: need exactly one A</v>
      </c>
    </row>
    <row r="15" spans="1:16" x14ac:dyDescent="0.45">
      <c r="A15" s="57" t="s">
        <v>1562</v>
      </c>
      <c r="B15" s="46"/>
      <c r="C15" s="46"/>
      <c r="D15" s="46"/>
      <c r="E15" s="46"/>
      <c r="F15" s="46"/>
      <c r="G15" s="46"/>
      <c r="H15" s="46"/>
      <c r="I15" s="46"/>
      <c r="J15" s="46"/>
      <c r="K15" s="46"/>
      <c r="L15" s="46"/>
      <c r="M15" s="46"/>
      <c r="N15" s="46"/>
      <c r="O15" s="46"/>
      <c r="P15" s="47" t="str">
        <f t="shared" si="0"/>
        <v>FIX: need exactly one A</v>
      </c>
    </row>
    <row r="16" spans="1:16" x14ac:dyDescent="0.45">
      <c r="A16" s="57" t="s">
        <v>1563</v>
      </c>
      <c r="B16" s="46"/>
      <c r="C16" s="46"/>
      <c r="D16" s="46"/>
      <c r="E16" s="46"/>
      <c r="F16" s="46"/>
      <c r="G16" s="46"/>
      <c r="H16" s="46"/>
      <c r="I16" s="46"/>
      <c r="J16" s="46"/>
      <c r="K16" s="46"/>
      <c r="L16" s="46"/>
      <c r="M16" s="46"/>
      <c r="N16" s="46"/>
      <c r="O16" s="46"/>
      <c r="P16" s="47" t="str">
        <f t="shared" si="0"/>
        <v>FIX: need exactly one A</v>
      </c>
    </row>
    <row r="17" spans="1:16" x14ac:dyDescent="0.45">
      <c r="A17" s="57" t="s">
        <v>1564</v>
      </c>
      <c r="B17" s="46"/>
      <c r="C17" s="46"/>
      <c r="D17" s="46"/>
      <c r="E17" s="46"/>
      <c r="F17" s="46"/>
      <c r="G17" s="46"/>
      <c r="H17" s="46"/>
      <c r="I17" s="46"/>
      <c r="J17" s="46"/>
      <c r="K17" s="46"/>
      <c r="L17" s="46"/>
      <c r="M17" s="46"/>
      <c r="N17" s="46"/>
      <c r="O17" s="46"/>
      <c r="P17" s="47" t="str">
        <f t="shared" si="0"/>
        <v>FIX: need exactly one A</v>
      </c>
    </row>
    <row r="18" spans="1:16" x14ac:dyDescent="0.45">
      <c r="A18" s="57" t="s">
        <v>1565</v>
      </c>
      <c r="B18" s="46"/>
      <c r="C18" s="46"/>
      <c r="D18" s="46"/>
      <c r="E18" s="46"/>
      <c r="F18" s="46"/>
      <c r="G18" s="46"/>
      <c r="H18" s="46"/>
      <c r="I18" s="46"/>
      <c r="J18" s="46"/>
      <c r="K18" s="46"/>
      <c r="L18" s="46"/>
      <c r="M18" s="46"/>
      <c r="N18" s="46"/>
      <c r="O18" s="46"/>
      <c r="P18" s="47" t="str">
        <f t="shared" si="0"/>
        <v>FIX: need exactly one A</v>
      </c>
    </row>
    <row r="19" spans="1:16" x14ac:dyDescent="0.45">
      <c r="A19" s="57" t="s">
        <v>1566</v>
      </c>
      <c r="B19" s="46"/>
      <c r="C19" s="46"/>
      <c r="D19" s="46"/>
      <c r="E19" s="46"/>
      <c r="F19" s="46"/>
      <c r="G19" s="46"/>
      <c r="H19" s="46"/>
      <c r="I19" s="46"/>
      <c r="J19" s="46"/>
      <c r="K19" s="46"/>
      <c r="L19" s="46"/>
      <c r="M19" s="46"/>
      <c r="N19" s="46"/>
      <c r="O19" s="46"/>
      <c r="P19" s="47" t="str">
        <f t="shared" si="0"/>
        <v>FIX: need exactly one A</v>
      </c>
    </row>
    <row r="20" spans="1:16" x14ac:dyDescent="0.45">
      <c r="A20" s="57" t="s">
        <v>1059</v>
      </c>
      <c r="B20" s="46"/>
      <c r="C20" s="46"/>
      <c r="D20" s="46"/>
      <c r="E20" s="46"/>
      <c r="F20" s="46"/>
      <c r="G20" s="46"/>
      <c r="H20" s="46"/>
      <c r="I20" s="46"/>
      <c r="J20" s="46"/>
      <c r="K20" s="46"/>
      <c r="L20" s="46"/>
      <c r="M20" s="46"/>
      <c r="N20" s="46"/>
      <c r="O20" s="46"/>
      <c r="P20" s="47" t="str">
        <f t="shared" si="0"/>
        <v>FIX: need exactly one A</v>
      </c>
    </row>
    <row r="21" spans="1:16" x14ac:dyDescent="0.45">
      <c r="A21" s="57" t="s">
        <v>1567</v>
      </c>
      <c r="B21" s="46"/>
      <c r="C21" s="46"/>
      <c r="D21" s="46"/>
      <c r="E21" s="46"/>
      <c r="F21" s="46"/>
      <c r="G21" s="46"/>
      <c r="H21" s="46"/>
      <c r="I21" s="46"/>
      <c r="J21" s="46"/>
      <c r="K21" s="46"/>
      <c r="L21" s="46"/>
      <c r="M21" s="46"/>
      <c r="N21" s="46"/>
      <c r="O21" s="46"/>
      <c r="P21" s="47" t="str">
        <f t="shared" si="0"/>
        <v>FIX: need exactly one A</v>
      </c>
    </row>
    <row r="22" spans="1:16" x14ac:dyDescent="0.45">
      <c r="A22" s="57" t="s">
        <v>1568</v>
      </c>
      <c r="B22" s="46"/>
      <c r="C22" s="46"/>
      <c r="D22" s="46"/>
      <c r="E22" s="46"/>
      <c r="F22" s="46"/>
      <c r="G22" s="46"/>
      <c r="H22" s="46"/>
      <c r="I22" s="46"/>
      <c r="J22" s="46"/>
      <c r="K22" s="46"/>
      <c r="L22" s="46"/>
      <c r="M22" s="46"/>
      <c r="N22" s="46"/>
      <c r="O22" s="46"/>
      <c r="P22" s="47" t="str">
        <f t="shared" si="0"/>
        <v>FIX: need exactly one A</v>
      </c>
    </row>
    <row r="23" spans="1:16" x14ac:dyDescent="0.45">
      <c r="A23" s="57" t="s">
        <v>1569</v>
      </c>
      <c r="B23" s="46"/>
      <c r="C23" s="46"/>
      <c r="D23" s="46"/>
      <c r="E23" s="46"/>
      <c r="F23" s="46"/>
      <c r="G23" s="46"/>
      <c r="H23" s="46"/>
      <c r="I23" s="46"/>
      <c r="J23" s="46"/>
      <c r="K23" s="46"/>
      <c r="L23" s="46"/>
      <c r="M23" s="46"/>
      <c r="N23" s="46"/>
      <c r="O23" s="46"/>
      <c r="P23" s="47" t="str">
        <f t="shared" si="0"/>
        <v>FIX: need exactly one A</v>
      </c>
    </row>
  </sheetData>
  <mergeCells count="3">
    <mergeCell ref="A1:P1"/>
    <mergeCell ref="A2:P2"/>
    <mergeCell ref="A3:P3"/>
  </mergeCells>
  <conditionalFormatting sqref="P6:P23">
    <cfRule type="cellIs" dxfId="6" priority="2" operator="notEqual">
      <formula>"OK"</formula>
    </cfRule>
    <cfRule type="cellIs" dxfId="5" priority="3" operator="equal">
      <formula>"OK"</formula>
    </cfRule>
  </conditionalFormatting>
  <dataValidations count="1">
    <dataValidation type="list" allowBlank="1" sqref="B6:O23" xr:uid="{00000000-0002-0000-1300-000000000000}">
      <formula1>"R,A,C,I"</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E8641C"/>
    <pageSetUpPr fitToPage="1"/>
  </sheetPr>
  <dimension ref="A1:H85"/>
  <sheetViews>
    <sheetView showGridLines="0" zoomScaleNormal="100" workbookViewId="0">
      <pane ySplit="5" topLeftCell="A6" activePane="bottomLeft" state="frozen"/>
      <selection pane="bottomLeft"/>
    </sheetView>
  </sheetViews>
  <sheetFormatPr defaultColWidth="8.6640625" defaultRowHeight="14.25" x14ac:dyDescent="0.45"/>
  <cols>
    <col min="1" max="1" width="5" customWidth="1"/>
    <col min="2" max="4" width="30" customWidth="1"/>
    <col min="5" max="5" width="20" customWidth="1"/>
    <col min="6" max="8" width="14" customWidth="1"/>
  </cols>
  <sheetData>
    <row r="1" spans="1:8" ht="30" customHeight="1" x14ac:dyDescent="0.45">
      <c r="A1" s="122" t="s">
        <v>1570</v>
      </c>
      <c r="B1" s="122"/>
      <c r="C1" s="122"/>
      <c r="D1" s="122"/>
      <c r="E1" s="122"/>
      <c r="F1" s="122"/>
      <c r="G1" s="122"/>
      <c r="H1" s="122"/>
    </row>
    <row r="2" spans="1:8" ht="18" customHeight="1" x14ac:dyDescent="0.45">
      <c r="A2" s="123" t="s">
        <v>1571</v>
      </c>
      <c r="B2" s="123"/>
      <c r="C2" s="123"/>
      <c r="D2" s="123"/>
      <c r="E2" s="123"/>
      <c r="F2" s="123"/>
      <c r="G2" s="123"/>
      <c r="H2" s="123"/>
    </row>
    <row r="3" spans="1:8" ht="21.75" customHeight="1" x14ac:dyDescent="0.45">
      <c r="A3" s="124" t="s">
        <v>1572</v>
      </c>
      <c r="B3" s="124"/>
      <c r="C3" s="124"/>
      <c r="D3" s="124"/>
      <c r="E3" s="124"/>
      <c r="F3" s="124"/>
      <c r="G3" s="124"/>
      <c r="H3" s="124"/>
    </row>
    <row r="5" spans="1:8" ht="30" customHeight="1" x14ac:dyDescent="0.45">
      <c r="A5" s="32" t="s">
        <v>134</v>
      </c>
      <c r="B5" s="32" t="s">
        <v>1573</v>
      </c>
      <c r="C5" s="32" t="s">
        <v>1574</v>
      </c>
      <c r="D5" s="32" t="s">
        <v>1575</v>
      </c>
      <c r="E5" s="32" t="s">
        <v>648</v>
      </c>
      <c r="F5" s="32" t="s">
        <v>1576</v>
      </c>
      <c r="G5" s="32" t="s">
        <v>1577</v>
      </c>
      <c r="H5" s="32" t="s">
        <v>1578</v>
      </c>
    </row>
    <row r="6" spans="1:8" x14ac:dyDescent="0.45">
      <c r="A6" s="79">
        <f>IF($B6="","",COUNTA($B$6:$B6))</f>
        <v>1</v>
      </c>
      <c r="B6" s="34" t="s">
        <v>1579</v>
      </c>
      <c r="C6" s="34" t="s">
        <v>1580</v>
      </c>
      <c r="D6" s="34" t="s">
        <v>1581</v>
      </c>
      <c r="E6" s="34" t="s">
        <v>1380</v>
      </c>
      <c r="F6" s="39"/>
      <c r="G6" s="39"/>
      <c r="H6" s="40" t="str">
        <f t="shared" ref="H6:H37" ca="1" si="0">IF($B6="","",IF($G6="","No review date",IF($G6&lt;TODAY(),"STALE",IF($G6-TODAY()&lt;=30,"Review soon","Current"))))</f>
        <v>No review date</v>
      </c>
    </row>
    <row r="7" spans="1:8" x14ac:dyDescent="0.45">
      <c r="A7" s="79" t="str">
        <f>IF($B7="","",COUNTA($B$6:$B7))</f>
        <v/>
      </c>
      <c r="B7" s="34"/>
      <c r="C7" s="34"/>
      <c r="D7" s="34"/>
      <c r="E7" s="34"/>
      <c r="F7" s="39"/>
      <c r="G7" s="39"/>
      <c r="H7" s="40" t="str">
        <f t="shared" ca="1" si="0"/>
        <v/>
      </c>
    </row>
    <row r="8" spans="1:8" x14ac:dyDescent="0.45">
      <c r="A8" s="79" t="str">
        <f>IF($B8="","",COUNTA($B$6:$B8))</f>
        <v/>
      </c>
      <c r="B8" s="34"/>
      <c r="C8" s="34"/>
      <c r="D8" s="34"/>
      <c r="E8" s="34"/>
      <c r="F8" s="39"/>
      <c r="G8" s="39"/>
      <c r="H8" s="40" t="str">
        <f t="shared" ca="1" si="0"/>
        <v/>
      </c>
    </row>
    <row r="9" spans="1:8" x14ac:dyDescent="0.45">
      <c r="A9" s="79" t="str">
        <f>IF($B9="","",COUNTA($B$6:$B9))</f>
        <v/>
      </c>
      <c r="B9" s="34"/>
      <c r="C9" s="34"/>
      <c r="D9" s="34"/>
      <c r="E9" s="34"/>
      <c r="F9" s="39"/>
      <c r="G9" s="39"/>
      <c r="H9" s="40" t="str">
        <f t="shared" ca="1" si="0"/>
        <v/>
      </c>
    </row>
    <row r="10" spans="1:8" x14ac:dyDescent="0.45">
      <c r="A10" s="79" t="str">
        <f>IF($B10="","",COUNTA($B$6:$B10))</f>
        <v/>
      </c>
      <c r="B10" s="34"/>
      <c r="C10" s="34"/>
      <c r="D10" s="34"/>
      <c r="E10" s="34"/>
      <c r="F10" s="39"/>
      <c r="G10" s="39"/>
      <c r="H10" s="40" t="str">
        <f t="shared" ca="1" si="0"/>
        <v/>
      </c>
    </row>
    <row r="11" spans="1:8" x14ac:dyDescent="0.45">
      <c r="A11" s="79" t="str">
        <f>IF($B11="","",COUNTA($B$6:$B11))</f>
        <v/>
      </c>
      <c r="B11" s="34"/>
      <c r="C11" s="34"/>
      <c r="D11" s="34"/>
      <c r="E11" s="34"/>
      <c r="F11" s="39"/>
      <c r="G11" s="39"/>
      <c r="H11" s="40" t="str">
        <f t="shared" ca="1" si="0"/>
        <v/>
      </c>
    </row>
    <row r="12" spans="1:8" x14ac:dyDescent="0.45">
      <c r="A12" s="79" t="str">
        <f>IF($B12="","",COUNTA($B$6:$B12))</f>
        <v/>
      </c>
      <c r="B12" s="34"/>
      <c r="C12" s="34"/>
      <c r="D12" s="34"/>
      <c r="E12" s="34"/>
      <c r="F12" s="39"/>
      <c r="G12" s="39"/>
      <c r="H12" s="40" t="str">
        <f t="shared" ca="1" si="0"/>
        <v/>
      </c>
    </row>
    <row r="13" spans="1:8" x14ac:dyDescent="0.45">
      <c r="A13" s="79" t="str">
        <f>IF($B13="","",COUNTA($B$6:$B13))</f>
        <v/>
      </c>
      <c r="B13" s="34"/>
      <c r="C13" s="34"/>
      <c r="D13" s="34"/>
      <c r="E13" s="34"/>
      <c r="F13" s="39"/>
      <c r="G13" s="39"/>
      <c r="H13" s="40" t="str">
        <f t="shared" ca="1" si="0"/>
        <v/>
      </c>
    </row>
    <row r="14" spans="1:8" x14ac:dyDescent="0.45">
      <c r="A14" s="79" t="str">
        <f>IF($B14="","",COUNTA($B$6:$B14))</f>
        <v/>
      </c>
      <c r="B14" s="34"/>
      <c r="C14" s="34"/>
      <c r="D14" s="34"/>
      <c r="E14" s="34"/>
      <c r="F14" s="39"/>
      <c r="G14" s="39"/>
      <c r="H14" s="40" t="str">
        <f t="shared" ca="1" si="0"/>
        <v/>
      </c>
    </row>
    <row r="15" spans="1:8" x14ac:dyDescent="0.45">
      <c r="A15" s="79" t="str">
        <f>IF($B15="","",COUNTA($B$6:$B15))</f>
        <v/>
      </c>
      <c r="B15" s="34"/>
      <c r="C15" s="34"/>
      <c r="D15" s="34"/>
      <c r="E15" s="34"/>
      <c r="F15" s="39"/>
      <c r="G15" s="39"/>
      <c r="H15" s="40" t="str">
        <f t="shared" ca="1" si="0"/>
        <v/>
      </c>
    </row>
    <row r="16" spans="1:8" x14ac:dyDescent="0.45">
      <c r="A16" s="79" t="str">
        <f>IF($B16="","",COUNTA($B$6:$B16))</f>
        <v/>
      </c>
      <c r="B16" s="34"/>
      <c r="C16" s="34"/>
      <c r="D16" s="34"/>
      <c r="E16" s="34"/>
      <c r="F16" s="39"/>
      <c r="G16" s="39"/>
      <c r="H16" s="40" t="str">
        <f t="shared" ca="1" si="0"/>
        <v/>
      </c>
    </row>
    <row r="17" spans="1:8" x14ac:dyDescent="0.45">
      <c r="A17" s="79" t="str">
        <f>IF($B17="","",COUNTA($B$6:$B17))</f>
        <v/>
      </c>
      <c r="B17" s="34"/>
      <c r="C17" s="34"/>
      <c r="D17" s="34"/>
      <c r="E17" s="34"/>
      <c r="F17" s="39"/>
      <c r="G17" s="39"/>
      <c r="H17" s="40" t="str">
        <f t="shared" ca="1" si="0"/>
        <v/>
      </c>
    </row>
    <row r="18" spans="1:8" x14ac:dyDescent="0.45">
      <c r="A18" s="79" t="str">
        <f>IF($B18="","",COUNTA($B$6:$B18))</f>
        <v/>
      </c>
      <c r="B18" s="34"/>
      <c r="C18" s="34"/>
      <c r="D18" s="34"/>
      <c r="E18" s="34"/>
      <c r="F18" s="39"/>
      <c r="G18" s="39"/>
      <c r="H18" s="40" t="str">
        <f t="shared" ca="1" si="0"/>
        <v/>
      </c>
    </row>
    <row r="19" spans="1:8" x14ac:dyDescent="0.45">
      <c r="A19" s="79" t="str">
        <f>IF($B19="","",COUNTA($B$6:$B19))</f>
        <v/>
      </c>
      <c r="B19" s="34"/>
      <c r="C19" s="34"/>
      <c r="D19" s="34"/>
      <c r="E19" s="34"/>
      <c r="F19" s="39"/>
      <c r="G19" s="39"/>
      <c r="H19" s="40" t="str">
        <f t="shared" ca="1" si="0"/>
        <v/>
      </c>
    </row>
    <row r="20" spans="1:8" x14ac:dyDescent="0.45">
      <c r="A20" s="79" t="str">
        <f>IF($B20="","",COUNTA($B$6:$B20))</f>
        <v/>
      </c>
      <c r="B20" s="34"/>
      <c r="C20" s="34"/>
      <c r="D20" s="34"/>
      <c r="E20" s="34"/>
      <c r="F20" s="39"/>
      <c r="G20" s="39"/>
      <c r="H20" s="40" t="str">
        <f t="shared" ca="1" si="0"/>
        <v/>
      </c>
    </row>
    <row r="21" spans="1:8" x14ac:dyDescent="0.45">
      <c r="A21" s="79" t="str">
        <f>IF($B21="","",COUNTA($B$6:$B21))</f>
        <v/>
      </c>
      <c r="B21" s="34"/>
      <c r="C21" s="34"/>
      <c r="D21" s="34"/>
      <c r="E21" s="34"/>
      <c r="F21" s="39"/>
      <c r="G21" s="39"/>
      <c r="H21" s="40" t="str">
        <f t="shared" ca="1" si="0"/>
        <v/>
      </c>
    </row>
    <row r="22" spans="1:8" x14ac:dyDescent="0.45">
      <c r="A22" s="79" t="str">
        <f>IF($B22="","",COUNTA($B$6:$B22))</f>
        <v/>
      </c>
      <c r="B22" s="34"/>
      <c r="C22" s="34"/>
      <c r="D22" s="34"/>
      <c r="E22" s="34"/>
      <c r="F22" s="39"/>
      <c r="G22" s="39"/>
      <c r="H22" s="40" t="str">
        <f t="shared" ca="1" si="0"/>
        <v/>
      </c>
    </row>
    <row r="23" spans="1:8" x14ac:dyDescent="0.45">
      <c r="A23" s="79" t="str">
        <f>IF($B23="","",COUNTA($B$6:$B23))</f>
        <v/>
      </c>
      <c r="B23" s="34"/>
      <c r="C23" s="34"/>
      <c r="D23" s="34"/>
      <c r="E23" s="34"/>
      <c r="F23" s="39"/>
      <c r="G23" s="39"/>
      <c r="H23" s="40" t="str">
        <f t="shared" ca="1" si="0"/>
        <v/>
      </c>
    </row>
    <row r="24" spans="1:8" x14ac:dyDescent="0.45">
      <c r="A24" s="79" t="str">
        <f>IF($B24="","",COUNTA($B$6:$B24))</f>
        <v/>
      </c>
      <c r="B24" s="34"/>
      <c r="C24" s="34"/>
      <c r="D24" s="34"/>
      <c r="E24" s="34"/>
      <c r="F24" s="39"/>
      <c r="G24" s="39"/>
      <c r="H24" s="40" t="str">
        <f t="shared" ca="1" si="0"/>
        <v/>
      </c>
    </row>
    <row r="25" spans="1:8" x14ac:dyDescent="0.45">
      <c r="A25" s="79" t="str">
        <f>IF($B25="","",COUNTA($B$6:$B25))</f>
        <v/>
      </c>
      <c r="B25" s="34"/>
      <c r="C25" s="34"/>
      <c r="D25" s="34"/>
      <c r="E25" s="34"/>
      <c r="F25" s="39"/>
      <c r="G25" s="39"/>
      <c r="H25" s="40" t="str">
        <f t="shared" ca="1" si="0"/>
        <v/>
      </c>
    </row>
    <row r="26" spans="1:8" x14ac:dyDescent="0.45">
      <c r="A26" s="79" t="str">
        <f>IF($B26="","",COUNTA($B$6:$B26))</f>
        <v/>
      </c>
      <c r="B26" s="34"/>
      <c r="C26" s="34"/>
      <c r="D26" s="34"/>
      <c r="E26" s="34"/>
      <c r="F26" s="39"/>
      <c r="G26" s="39"/>
      <c r="H26" s="40" t="str">
        <f t="shared" ca="1" si="0"/>
        <v/>
      </c>
    </row>
    <row r="27" spans="1:8" x14ac:dyDescent="0.45">
      <c r="A27" s="79" t="str">
        <f>IF($B27="","",COUNTA($B$6:$B27))</f>
        <v/>
      </c>
      <c r="B27" s="34"/>
      <c r="C27" s="34"/>
      <c r="D27" s="34"/>
      <c r="E27" s="34"/>
      <c r="F27" s="39"/>
      <c r="G27" s="39"/>
      <c r="H27" s="40" t="str">
        <f t="shared" ca="1" si="0"/>
        <v/>
      </c>
    </row>
    <row r="28" spans="1:8" x14ac:dyDescent="0.45">
      <c r="A28" s="79" t="str">
        <f>IF($B28="","",COUNTA($B$6:$B28))</f>
        <v/>
      </c>
      <c r="B28" s="34"/>
      <c r="C28" s="34"/>
      <c r="D28" s="34"/>
      <c r="E28" s="34"/>
      <c r="F28" s="39"/>
      <c r="G28" s="39"/>
      <c r="H28" s="40" t="str">
        <f t="shared" ca="1" si="0"/>
        <v/>
      </c>
    </row>
    <row r="29" spans="1:8" x14ac:dyDescent="0.45">
      <c r="A29" s="79" t="str">
        <f>IF($B29="","",COUNTA($B$6:$B29))</f>
        <v/>
      </c>
      <c r="B29" s="34"/>
      <c r="C29" s="34"/>
      <c r="D29" s="34"/>
      <c r="E29" s="34"/>
      <c r="F29" s="39"/>
      <c r="G29" s="39"/>
      <c r="H29" s="40" t="str">
        <f t="shared" ca="1" si="0"/>
        <v/>
      </c>
    </row>
    <row r="30" spans="1:8" x14ac:dyDescent="0.45">
      <c r="A30" s="79" t="str">
        <f>IF($B30="","",COUNTA($B$6:$B30))</f>
        <v/>
      </c>
      <c r="B30" s="34"/>
      <c r="C30" s="34"/>
      <c r="D30" s="34"/>
      <c r="E30" s="34"/>
      <c r="F30" s="39"/>
      <c r="G30" s="39"/>
      <c r="H30" s="40" t="str">
        <f t="shared" ca="1" si="0"/>
        <v/>
      </c>
    </row>
    <row r="31" spans="1:8" x14ac:dyDescent="0.45">
      <c r="A31" s="79" t="str">
        <f>IF($B31="","",COUNTA($B$6:$B31))</f>
        <v/>
      </c>
      <c r="B31" s="34"/>
      <c r="C31" s="34"/>
      <c r="D31" s="34"/>
      <c r="E31" s="34"/>
      <c r="F31" s="39"/>
      <c r="G31" s="39"/>
      <c r="H31" s="40" t="str">
        <f t="shared" ca="1" si="0"/>
        <v/>
      </c>
    </row>
    <row r="32" spans="1:8" x14ac:dyDescent="0.45">
      <c r="A32" s="79" t="str">
        <f>IF($B32="","",COUNTA($B$6:$B32))</f>
        <v/>
      </c>
      <c r="B32" s="34"/>
      <c r="C32" s="34"/>
      <c r="D32" s="34"/>
      <c r="E32" s="34"/>
      <c r="F32" s="39"/>
      <c r="G32" s="39"/>
      <c r="H32" s="40" t="str">
        <f t="shared" ca="1" si="0"/>
        <v/>
      </c>
    </row>
    <row r="33" spans="1:8" x14ac:dyDescent="0.45">
      <c r="A33" s="79" t="str">
        <f>IF($B33="","",COUNTA($B$6:$B33))</f>
        <v/>
      </c>
      <c r="B33" s="34"/>
      <c r="C33" s="34"/>
      <c r="D33" s="34"/>
      <c r="E33" s="34"/>
      <c r="F33" s="39"/>
      <c r="G33" s="39"/>
      <c r="H33" s="40" t="str">
        <f t="shared" ca="1" si="0"/>
        <v/>
      </c>
    </row>
    <row r="34" spans="1:8" x14ac:dyDescent="0.45">
      <c r="A34" s="79" t="str">
        <f>IF($B34="","",COUNTA($B$6:$B34))</f>
        <v/>
      </c>
      <c r="B34" s="34"/>
      <c r="C34" s="34"/>
      <c r="D34" s="34"/>
      <c r="E34" s="34"/>
      <c r="F34" s="39"/>
      <c r="G34" s="39"/>
      <c r="H34" s="40" t="str">
        <f t="shared" ca="1" si="0"/>
        <v/>
      </c>
    </row>
    <row r="35" spans="1:8" x14ac:dyDescent="0.45">
      <c r="A35" s="79" t="str">
        <f>IF($B35="","",COUNTA($B$6:$B35))</f>
        <v/>
      </c>
      <c r="B35" s="34"/>
      <c r="C35" s="34"/>
      <c r="D35" s="34"/>
      <c r="E35" s="34"/>
      <c r="F35" s="39"/>
      <c r="G35" s="39"/>
      <c r="H35" s="40" t="str">
        <f t="shared" ca="1" si="0"/>
        <v/>
      </c>
    </row>
    <row r="36" spans="1:8" x14ac:dyDescent="0.45">
      <c r="A36" s="79" t="str">
        <f>IF($B36="","",COUNTA($B$6:$B36))</f>
        <v/>
      </c>
      <c r="B36" s="34"/>
      <c r="C36" s="34"/>
      <c r="D36" s="34"/>
      <c r="E36" s="34"/>
      <c r="F36" s="39"/>
      <c r="G36" s="39"/>
      <c r="H36" s="40" t="str">
        <f t="shared" ca="1" si="0"/>
        <v/>
      </c>
    </row>
    <row r="37" spans="1:8" x14ac:dyDescent="0.45">
      <c r="A37" s="79" t="str">
        <f>IF($B37="","",COUNTA($B$6:$B37))</f>
        <v/>
      </c>
      <c r="B37" s="34"/>
      <c r="C37" s="34"/>
      <c r="D37" s="34"/>
      <c r="E37" s="34"/>
      <c r="F37" s="39"/>
      <c r="G37" s="39"/>
      <c r="H37" s="40" t="str">
        <f t="shared" ca="1" si="0"/>
        <v/>
      </c>
    </row>
    <row r="38" spans="1:8" x14ac:dyDescent="0.45">
      <c r="A38" s="79" t="str">
        <f>IF($B38="","",COUNTA($B$6:$B38))</f>
        <v/>
      </c>
      <c r="B38" s="34"/>
      <c r="C38" s="34"/>
      <c r="D38" s="34"/>
      <c r="E38" s="34"/>
      <c r="F38" s="39"/>
      <c r="G38" s="39"/>
      <c r="H38" s="40" t="str">
        <f t="shared" ref="H38:H69" ca="1" si="1">IF($B38="","",IF($G38="","No review date",IF($G38&lt;TODAY(),"STALE",IF($G38-TODAY()&lt;=30,"Review soon","Current"))))</f>
        <v/>
      </c>
    </row>
    <row r="39" spans="1:8" x14ac:dyDescent="0.45">
      <c r="A39" s="79" t="str">
        <f>IF($B39="","",COUNTA($B$6:$B39))</f>
        <v/>
      </c>
      <c r="B39" s="34"/>
      <c r="C39" s="34"/>
      <c r="D39" s="34"/>
      <c r="E39" s="34"/>
      <c r="F39" s="39"/>
      <c r="G39" s="39"/>
      <c r="H39" s="40" t="str">
        <f t="shared" ca="1" si="1"/>
        <v/>
      </c>
    </row>
    <row r="40" spans="1:8" x14ac:dyDescent="0.45">
      <c r="A40" s="79" t="str">
        <f>IF($B40="","",COUNTA($B$6:$B40))</f>
        <v/>
      </c>
      <c r="B40" s="34"/>
      <c r="C40" s="34"/>
      <c r="D40" s="34"/>
      <c r="E40" s="34"/>
      <c r="F40" s="39"/>
      <c r="G40" s="39"/>
      <c r="H40" s="40" t="str">
        <f t="shared" ca="1" si="1"/>
        <v/>
      </c>
    </row>
    <row r="41" spans="1:8" x14ac:dyDescent="0.45">
      <c r="A41" s="79" t="str">
        <f>IF($B41="","",COUNTA($B$6:$B41))</f>
        <v/>
      </c>
      <c r="B41" s="34"/>
      <c r="C41" s="34"/>
      <c r="D41" s="34"/>
      <c r="E41" s="34"/>
      <c r="F41" s="39"/>
      <c r="G41" s="39"/>
      <c r="H41" s="40" t="str">
        <f t="shared" ca="1" si="1"/>
        <v/>
      </c>
    </row>
    <row r="42" spans="1:8" x14ac:dyDescent="0.45">
      <c r="A42" s="79" t="str">
        <f>IF($B42="","",COUNTA($B$6:$B42))</f>
        <v/>
      </c>
      <c r="B42" s="34"/>
      <c r="C42" s="34"/>
      <c r="D42" s="34"/>
      <c r="E42" s="34"/>
      <c r="F42" s="39"/>
      <c r="G42" s="39"/>
      <c r="H42" s="40" t="str">
        <f t="shared" ca="1" si="1"/>
        <v/>
      </c>
    </row>
    <row r="43" spans="1:8" x14ac:dyDescent="0.45">
      <c r="A43" s="79" t="str">
        <f>IF($B43="","",COUNTA($B$6:$B43))</f>
        <v/>
      </c>
      <c r="B43" s="34"/>
      <c r="C43" s="34"/>
      <c r="D43" s="34"/>
      <c r="E43" s="34"/>
      <c r="F43" s="39"/>
      <c r="G43" s="39"/>
      <c r="H43" s="40" t="str">
        <f t="shared" ca="1" si="1"/>
        <v/>
      </c>
    </row>
    <row r="44" spans="1:8" x14ac:dyDescent="0.45">
      <c r="A44" s="79" t="str">
        <f>IF($B44="","",COUNTA($B$6:$B44))</f>
        <v/>
      </c>
      <c r="B44" s="34"/>
      <c r="C44" s="34"/>
      <c r="D44" s="34"/>
      <c r="E44" s="34"/>
      <c r="F44" s="39"/>
      <c r="G44" s="39"/>
      <c r="H44" s="40" t="str">
        <f t="shared" ca="1" si="1"/>
        <v/>
      </c>
    </row>
    <row r="45" spans="1:8" x14ac:dyDescent="0.45">
      <c r="A45" s="79" t="str">
        <f>IF($B45="","",COUNTA($B$6:$B45))</f>
        <v/>
      </c>
      <c r="B45" s="34"/>
      <c r="C45" s="34"/>
      <c r="D45" s="34"/>
      <c r="E45" s="34"/>
      <c r="F45" s="39"/>
      <c r="G45" s="39"/>
      <c r="H45" s="40" t="str">
        <f t="shared" ca="1" si="1"/>
        <v/>
      </c>
    </row>
    <row r="46" spans="1:8" x14ac:dyDescent="0.45">
      <c r="A46" s="79" t="str">
        <f>IF($B46="","",COUNTA($B$6:$B46))</f>
        <v/>
      </c>
      <c r="B46" s="34"/>
      <c r="C46" s="34"/>
      <c r="D46" s="34"/>
      <c r="E46" s="34"/>
      <c r="F46" s="39"/>
      <c r="G46" s="39"/>
      <c r="H46" s="40" t="str">
        <f t="shared" ca="1" si="1"/>
        <v/>
      </c>
    </row>
    <row r="47" spans="1:8" x14ac:dyDescent="0.45">
      <c r="A47" s="79" t="str">
        <f>IF($B47="","",COUNTA($B$6:$B47))</f>
        <v/>
      </c>
      <c r="B47" s="34"/>
      <c r="C47" s="34"/>
      <c r="D47" s="34"/>
      <c r="E47" s="34"/>
      <c r="F47" s="39"/>
      <c r="G47" s="39"/>
      <c r="H47" s="40" t="str">
        <f t="shared" ca="1" si="1"/>
        <v/>
      </c>
    </row>
    <row r="48" spans="1:8" x14ac:dyDescent="0.45">
      <c r="A48" s="79" t="str">
        <f>IF($B48="","",COUNTA($B$6:$B48))</f>
        <v/>
      </c>
      <c r="B48" s="34"/>
      <c r="C48" s="34"/>
      <c r="D48" s="34"/>
      <c r="E48" s="34"/>
      <c r="F48" s="39"/>
      <c r="G48" s="39"/>
      <c r="H48" s="40" t="str">
        <f t="shared" ca="1" si="1"/>
        <v/>
      </c>
    </row>
    <row r="49" spans="1:8" x14ac:dyDescent="0.45">
      <c r="A49" s="79" t="str">
        <f>IF($B49="","",COUNTA($B$6:$B49))</f>
        <v/>
      </c>
      <c r="B49" s="34"/>
      <c r="C49" s="34"/>
      <c r="D49" s="34"/>
      <c r="E49" s="34"/>
      <c r="F49" s="39"/>
      <c r="G49" s="39"/>
      <c r="H49" s="40" t="str">
        <f t="shared" ca="1" si="1"/>
        <v/>
      </c>
    </row>
    <row r="50" spans="1:8" x14ac:dyDescent="0.45">
      <c r="A50" s="79" t="str">
        <f>IF($B50="","",COUNTA($B$6:$B50))</f>
        <v/>
      </c>
      <c r="B50" s="34"/>
      <c r="C50" s="34"/>
      <c r="D50" s="34"/>
      <c r="E50" s="34"/>
      <c r="F50" s="39"/>
      <c r="G50" s="39"/>
      <c r="H50" s="40" t="str">
        <f t="shared" ca="1" si="1"/>
        <v/>
      </c>
    </row>
    <row r="51" spans="1:8" x14ac:dyDescent="0.45">
      <c r="A51" s="79" t="str">
        <f>IF($B51="","",COUNTA($B$6:$B51))</f>
        <v/>
      </c>
      <c r="B51" s="34"/>
      <c r="C51" s="34"/>
      <c r="D51" s="34"/>
      <c r="E51" s="34"/>
      <c r="F51" s="39"/>
      <c r="G51" s="39"/>
      <c r="H51" s="40" t="str">
        <f t="shared" ca="1" si="1"/>
        <v/>
      </c>
    </row>
    <row r="52" spans="1:8" x14ac:dyDescent="0.45">
      <c r="A52" s="79" t="str">
        <f>IF($B52="","",COUNTA($B$6:$B52))</f>
        <v/>
      </c>
      <c r="B52" s="34"/>
      <c r="C52" s="34"/>
      <c r="D52" s="34"/>
      <c r="E52" s="34"/>
      <c r="F52" s="39"/>
      <c r="G52" s="39"/>
      <c r="H52" s="40" t="str">
        <f t="shared" ca="1" si="1"/>
        <v/>
      </c>
    </row>
    <row r="53" spans="1:8" x14ac:dyDescent="0.45">
      <c r="A53" s="79" t="str">
        <f>IF($B53="","",COUNTA($B$6:$B53))</f>
        <v/>
      </c>
      <c r="B53" s="34"/>
      <c r="C53" s="34"/>
      <c r="D53" s="34"/>
      <c r="E53" s="34"/>
      <c r="F53" s="39"/>
      <c r="G53" s="39"/>
      <c r="H53" s="40" t="str">
        <f t="shared" ca="1" si="1"/>
        <v/>
      </c>
    </row>
    <row r="54" spans="1:8" x14ac:dyDescent="0.45">
      <c r="A54" s="79" t="str">
        <f>IF($B54="","",COUNTA($B$6:$B54))</f>
        <v/>
      </c>
      <c r="B54" s="34"/>
      <c r="C54" s="34"/>
      <c r="D54" s="34"/>
      <c r="E54" s="34"/>
      <c r="F54" s="39"/>
      <c r="G54" s="39"/>
      <c r="H54" s="40" t="str">
        <f t="shared" ca="1" si="1"/>
        <v/>
      </c>
    </row>
    <row r="55" spans="1:8" x14ac:dyDescent="0.45">
      <c r="A55" s="79" t="str">
        <f>IF($B55="","",COUNTA($B$6:$B55))</f>
        <v/>
      </c>
      <c r="B55" s="34"/>
      <c r="C55" s="34"/>
      <c r="D55" s="34"/>
      <c r="E55" s="34"/>
      <c r="F55" s="39"/>
      <c r="G55" s="39"/>
      <c r="H55" s="40" t="str">
        <f t="shared" ca="1" si="1"/>
        <v/>
      </c>
    </row>
    <row r="56" spans="1:8" x14ac:dyDescent="0.45">
      <c r="A56" s="79" t="str">
        <f>IF($B56="","",COUNTA($B$6:$B56))</f>
        <v/>
      </c>
      <c r="B56" s="34"/>
      <c r="C56" s="34"/>
      <c r="D56" s="34"/>
      <c r="E56" s="34"/>
      <c r="F56" s="39"/>
      <c r="G56" s="39"/>
      <c r="H56" s="40" t="str">
        <f t="shared" ca="1" si="1"/>
        <v/>
      </c>
    </row>
    <row r="57" spans="1:8" x14ac:dyDescent="0.45">
      <c r="A57" s="79" t="str">
        <f>IF($B57="","",COUNTA($B$6:$B57))</f>
        <v/>
      </c>
      <c r="B57" s="34"/>
      <c r="C57" s="34"/>
      <c r="D57" s="34"/>
      <c r="E57" s="34"/>
      <c r="F57" s="39"/>
      <c r="G57" s="39"/>
      <c r="H57" s="40" t="str">
        <f t="shared" ca="1" si="1"/>
        <v/>
      </c>
    </row>
    <row r="58" spans="1:8" x14ac:dyDescent="0.45">
      <c r="A58" s="79" t="str">
        <f>IF($B58="","",COUNTA($B$6:$B58))</f>
        <v/>
      </c>
      <c r="B58" s="34"/>
      <c r="C58" s="34"/>
      <c r="D58" s="34"/>
      <c r="E58" s="34"/>
      <c r="F58" s="39"/>
      <c r="G58" s="39"/>
      <c r="H58" s="40" t="str">
        <f t="shared" ca="1" si="1"/>
        <v/>
      </c>
    </row>
    <row r="59" spans="1:8" x14ac:dyDescent="0.45">
      <c r="A59" s="79" t="str">
        <f>IF($B59="","",COUNTA($B$6:$B59))</f>
        <v/>
      </c>
      <c r="B59" s="34"/>
      <c r="C59" s="34"/>
      <c r="D59" s="34"/>
      <c r="E59" s="34"/>
      <c r="F59" s="39"/>
      <c r="G59" s="39"/>
      <c r="H59" s="40" t="str">
        <f t="shared" ca="1" si="1"/>
        <v/>
      </c>
    </row>
    <row r="60" spans="1:8" x14ac:dyDescent="0.45">
      <c r="A60" s="79" t="str">
        <f>IF($B60="","",COUNTA($B$6:$B60))</f>
        <v/>
      </c>
      <c r="B60" s="34"/>
      <c r="C60" s="34"/>
      <c r="D60" s="34"/>
      <c r="E60" s="34"/>
      <c r="F60" s="39"/>
      <c r="G60" s="39"/>
      <c r="H60" s="40" t="str">
        <f t="shared" ca="1" si="1"/>
        <v/>
      </c>
    </row>
    <row r="61" spans="1:8" x14ac:dyDescent="0.45">
      <c r="A61" s="79" t="str">
        <f>IF($B61="","",COUNTA($B$6:$B61))</f>
        <v/>
      </c>
      <c r="B61" s="34"/>
      <c r="C61" s="34"/>
      <c r="D61" s="34"/>
      <c r="E61" s="34"/>
      <c r="F61" s="39"/>
      <c r="G61" s="39"/>
      <c r="H61" s="40" t="str">
        <f t="shared" ca="1" si="1"/>
        <v/>
      </c>
    </row>
    <row r="62" spans="1:8" x14ac:dyDescent="0.45">
      <c r="A62" s="79" t="str">
        <f>IF($B62="","",COUNTA($B$6:$B62))</f>
        <v/>
      </c>
      <c r="B62" s="34"/>
      <c r="C62" s="34"/>
      <c r="D62" s="34"/>
      <c r="E62" s="34"/>
      <c r="F62" s="39"/>
      <c r="G62" s="39"/>
      <c r="H62" s="40" t="str">
        <f t="shared" ca="1" si="1"/>
        <v/>
      </c>
    </row>
    <row r="63" spans="1:8" x14ac:dyDescent="0.45">
      <c r="A63" s="79" t="str">
        <f>IF($B63="","",COUNTA($B$6:$B63))</f>
        <v/>
      </c>
      <c r="B63" s="34"/>
      <c r="C63" s="34"/>
      <c r="D63" s="34"/>
      <c r="E63" s="34"/>
      <c r="F63" s="39"/>
      <c r="G63" s="39"/>
      <c r="H63" s="40" t="str">
        <f t="shared" ca="1" si="1"/>
        <v/>
      </c>
    </row>
    <row r="64" spans="1:8" x14ac:dyDescent="0.45">
      <c r="A64" s="79" t="str">
        <f>IF($B64="","",COUNTA($B$6:$B64))</f>
        <v/>
      </c>
      <c r="B64" s="34"/>
      <c r="C64" s="34"/>
      <c r="D64" s="34"/>
      <c r="E64" s="34"/>
      <c r="F64" s="39"/>
      <c r="G64" s="39"/>
      <c r="H64" s="40" t="str">
        <f t="shared" ca="1" si="1"/>
        <v/>
      </c>
    </row>
    <row r="65" spans="1:8" x14ac:dyDescent="0.45">
      <c r="A65" s="79" t="str">
        <f>IF($B65="","",COUNTA($B$6:$B65))</f>
        <v/>
      </c>
      <c r="B65" s="34"/>
      <c r="C65" s="34"/>
      <c r="D65" s="34"/>
      <c r="E65" s="34"/>
      <c r="F65" s="39"/>
      <c r="G65" s="39"/>
      <c r="H65" s="40" t="str">
        <f t="shared" ca="1" si="1"/>
        <v/>
      </c>
    </row>
    <row r="66" spans="1:8" x14ac:dyDescent="0.45">
      <c r="A66" s="79" t="str">
        <f>IF($B66="","",COUNTA($B$6:$B66))</f>
        <v/>
      </c>
      <c r="B66" s="34"/>
      <c r="C66" s="34"/>
      <c r="D66" s="34"/>
      <c r="E66" s="34"/>
      <c r="F66" s="39"/>
      <c r="G66" s="39"/>
      <c r="H66" s="40" t="str">
        <f t="shared" ca="1" si="1"/>
        <v/>
      </c>
    </row>
    <row r="67" spans="1:8" x14ac:dyDescent="0.45">
      <c r="A67" s="79" t="str">
        <f>IF($B67="","",COUNTA($B$6:$B67))</f>
        <v/>
      </c>
      <c r="B67" s="34"/>
      <c r="C67" s="34"/>
      <c r="D67" s="34"/>
      <c r="E67" s="34"/>
      <c r="F67" s="39"/>
      <c r="G67" s="39"/>
      <c r="H67" s="40" t="str">
        <f t="shared" ca="1" si="1"/>
        <v/>
      </c>
    </row>
    <row r="68" spans="1:8" x14ac:dyDescent="0.45">
      <c r="A68" s="79" t="str">
        <f>IF($B68="","",COUNTA($B$6:$B68))</f>
        <v/>
      </c>
      <c r="B68" s="34"/>
      <c r="C68" s="34"/>
      <c r="D68" s="34"/>
      <c r="E68" s="34"/>
      <c r="F68" s="39"/>
      <c r="G68" s="39"/>
      <c r="H68" s="40" t="str">
        <f t="shared" ca="1" si="1"/>
        <v/>
      </c>
    </row>
    <row r="69" spans="1:8" x14ac:dyDescent="0.45">
      <c r="A69" s="79" t="str">
        <f>IF($B69="","",COUNTA($B$6:$B69))</f>
        <v/>
      </c>
      <c r="B69" s="34"/>
      <c r="C69" s="34"/>
      <c r="D69" s="34"/>
      <c r="E69" s="34"/>
      <c r="F69" s="39"/>
      <c r="G69" s="39"/>
      <c r="H69" s="40" t="str">
        <f t="shared" ca="1" si="1"/>
        <v/>
      </c>
    </row>
    <row r="70" spans="1:8" x14ac:dyDescent="0.45">
      <c r="A70" s="79" t="str">
        <f>IF($B70="","",COUNTA($B$6:$B70))</f>
        <v/>
      </c>
      <c r="B70" s="34"/>
      <c r="C70" s="34"/>
      <c r="D70" s="34"/>
      <c r="E70" s="34"/>
      <c r="F70" s="39"/>
      <c r="G70" s="39"/>
      <c r="H70" s="40" t="str">
        <f t="shared" ref="H70:H85" ca="1" si="2">IF($B70="","",IF($G70="","No review date",IF($G70&lt;TODAY(),"STALE",IF($G70-TODAY()&lt;=30,"Review soon","Current"))))</f>
        <v/>
      </c>
    </row>
    <row r="71" spans="1:8" x14ac:dyDescent="0.45">
      <c r="A71" s="79" t="str">
        <f>IF($B71="","",COUNTA($B$6:$B71))</f>
        <v/>
      </c>
      <c r="B71" s="34"/>
      <c r="C71" s="34"/>
      <c r="D71" s="34"/>
      <c r="E71" s="34"/>
      <c r="F71" s="39"/>
      <c r="G71" s="39"/>
      <c r="H71" s="40" t="str">
        <f t="shared" ca="1" si="2"/>
        <v/>
      </c>
    </row>
    <row r="72" spans="1:8" x14ac:dyDescent="0.45">
      <c r="A72" s="79" t="str">
        <f>IF($B72="","",COUNTA($B$6:$B72))</f>
        <v/>
      </c>
      <c r="B72" s="34"/>
      <c r="C72" s="34"/>
      <c r="D72" s="34"/>
      <c r="E72" s="34"/>
      <c r="F72" s="39"/>
      <c r="G72" s="39"/>
      <c r="H72" s="40" t="str">
        <f t="shared" ca="1" si="2"/>
        <v/>
      </c>
    </row>
    <row r="73" spans="1:8" x14ac:dyDescent="0.45">
      <c r="A73" s="79" t="str">
        <f>IF($B73="","",COUNTA($B$6:$B73))</f>
        <v/>
      </c>
      <c r="B73" s="34"/>
      <c r="C73" s="34"/>
      <c r="D73" s="34"/>
      <c r="E73" s="34"/>
      <c r="F73" s="39"/>
      <c r="G73" s="39"/>
      <c r="H73" s="40" t="str">
        <f t="shared" ca="1" si="2"/>
        <v/>
      </c>
    </row>
    <row r="74" spans="1:8" x14ac:dyDescent="0.45">
      <c r="A74" s="79" t="str">
        <f>IF($B74="","",COUNTA($B$6:$B74))</f>
        <v/>
      </c>
      <c r="B74" s="34"/>
      <c r="C74" s="34"/>
      <c r="D74" s="34"/>
      <c r="E74" s="34"/>
      <c r="F74" s="39"/>
      <c r="G74" s="39"/>
      <c r="H74" s="40" t="str">
        <f t="shared" ca="1" si="2"/>
        <v/>
      </c>
    </row>
    <row r="75" spans="1:8" x14ac:dyDescent="0.45">
      <c r="A75" s="79" t="str">
        <f>IF($B75="","",COUNTA($B$6:$B75))</f>
        <v/>
      </c>
      <c r="B75" s="34"/>
      <c r="C75" s="34"/>
      <c r="D75" s="34"/>
      <c r="E75" s="34"/>
      <c r="F75" s="39"/>
      <c r="G75" s="39"/>
      <c r="H75" s="40" t="str">
        <f t="shared" ca="1" si="2"/>
        <v/>
      </c>
    </row>
    <row r="76" spans="1:8" x14ac:dyDescent="0.45">
      <c r="A76" s="79" t="str">
        <f>IF($B76="","",COUNTA($B$6:$B76))</f>
        <v/>
      </c>
      <c r="B76" s="34"/>
      <c r="C76" s="34"/>
      <c r="D76" s="34"/>
      <c r="E76" s="34"/>
      <c r="F76" s="39"/>
      <c r="G76" s="39"/>
      <c r="H76" s="40" t="str">
        <f t="shared" ca="1" si="2"/>
        <v/>
      </c>
    </row>
    <row r="77" spans="1:8" x14ac:dyDescent="0.45">
      <c r="A77" s="79" t="str">
        <f>IF($B77="","",COUNTA($B$6:$B77))</f>
        <v/>
      </c>
      <c r="B77" s="34"/>
      <c r="C77" s="34"/>
      <c r="D77" s="34"/>
      <c r="E77" s="34"/>
      <c r="F77" s="39"/>
      <c r="G77" s="39"/>
      <c r="H77" s="40" t="str">
        <f t="shared" ca="1" si="2"/>
        <v/>
      </c>
    </row>
    <row r="78" spans="1:8" x14ac:dyDescent="0.45">
      <c r="A78" s="79" t="str">
        <f>IF($B78="","",COUNTA($B$6:$B78))</f>
        <v/>
      </c>
      <c r="B78" s="34"/>
      <c r="C78" s="34"/>
      <c r="D78" s="34"/>
      <c r="E78" s="34"/>
      <c r="F78" s="39"/>
      <c r="G78" s="39"/>
      <c r="H78" s="40" t="str">
        <f t="shared" ca="1" si="2"/>
        <v/>
      </c>
    </row>
    <row r="79" spans="1:8" x14ac:dyDescent="0.45">
      <c r="A79" s="79" t="str">
        <f>IF($B79="","",COUNTA($B$6:$B79))</f>
        <v/>
      </c>
      <c r="B79" s="34"/>
      <c r="C79" s="34"/>
      <c r="D79" s="34"/>
      <c r="E79" s="34"/>
      <c r="F79" s="39"/>
      <c r="G79" s="39"/>
      <c r="H79" s="40" t="str">
        <f t="shared" ca="1" si="2"/>
        <v/>
      </c>
    </row>
    <row r="80" spans="1:8" x14ac:dyDescent="0.45">
      <c r="A80" s="79" t="str">
        <f>IF($B80="","",COUNTA($B$6:$B80))</f>
        <v/>
      </c>
      <c r="B80" s="34"/>
      <c r="C80" s="34"/>
      <c r="D80" s="34"/>
      <c r="E80" s="34"/>
      <c r="F80" s="39"/>
      <c r="G80" s="39"/>
      <c r="H80" s="40" t="str">
        <f t="shared" ca="1" si="2"/>
        <v/>
      </c>
    </row>
    <row r="81" spans="1:8" x14ac:dyDescent="0.45">
      <c r="A81" s="79" t="str">
        <f>IF($B81="","",COUNTA($B$6:$B81))</f>
        <v/>
      </c>
      <c r="B81" s="34"/>
      <c r="C81" s="34"/>
      <c r="D81" s="34"/>
      <c r="E81" s="34"/>
      <c r="F81" s="39"/>
      <c r="G81" s="39"/>
      <c r="H81" s="40" t="str">
        <f t="shared" ca="1" si="2"/>
        <v/>
      </c>
    </row>
    <row r="82" spans="1:8" x14ac:dyDescent="0.45">
      <c r="A82" s="79" t="str">
        <f>IF($B82="","",COUNTA($B$6:$B82))</f>
        <v/>
      </c>
      <c r="B82" s="34"/>
      <c r="C82" s="34"/>
      <c r="D82" s="34"/>
      <c r="E82" s="34"/>
      <c r="F82" s="39"/>
      <c r="G82" s="39"/>
      <c r="H82" s="40" t="str">
        <f t="shared" ca="1" si="2"/>
        <v/>
      </c>
    </row>
    <row r="83" spans="1:8" x14ac:dyDescent="0.45">
      <c r="A83" s="79" t="str">
        <f>IF($B83="","",COUNTA($B$6:$B83))</f>
        <v/>
      </c>
      <c r="B83" s="34"/>
      <c r="C83" s="34"/>
      <c r="D83" s="34"/>
      <c r="E83" s="34"/>
      <c r="F83" s="39"/>
      <c r="G83" s="39"/>
      <c r="H83" s="40" t="str">
        <f t="shared" ca="1" si="2"/>
        <v/>
      </c>
    </row>
    <row r="84" spans="1:8" x14ac:dyDescent="0.45">
      <c r="A84" s="79" t="str">
        <f>IF($B84="","",COUNTA($B$6:$B84))</f>
        <v/>
      </c>
      <c r="B84" s="34"/>
      <c r="C84" s="34"/>
      <c r="D84" s="34"/>
      <c r="E84" s="34"/>
      <c r="F84" s="39"/>
      <c r="G84" s="39"/>
      <c r="H84" s="40" t="str">
        <f t="shared" ca="1" si="2"/>
        <v/>
      </c>
    </row>
    <row r="85" spans="1:8" x14ac:dyDescent="0.45">
      <c r="A85" s="79" t="str">
        <f>IF($B85="","",COUNTA($B$6:$B85))</f>
        <v/>
      </c>
      <c r="B85" s="34"/>
      <c r="C85" s="34"/>
      <c r="D85" s="34"/>
      <c r="E85" s="34"/>
      <c r="F85" s="39"/>
      <c r="G85" s="39"/>
      <c r="H85" s="40" t="str">
        <f t="shared" ca="1" si="2"/>
        <v/>
      </c>
    </row>
  </sheetData>
  <autoFilter ref="A5:H85" xr:uid="{00000000-0009-0000-0000-000014000000}"/>
  <mergeCells count="3">
    <mergeCell ref="A1:H1"/>
    <mergeCell ref="A2:H2"/>
    <mergeCell ref="A3:H3"/>
  </mergeCells>
  <conditionalFormatting sqref="H6:H85">
    <cfRule type="cellIs" dxfId="4" priority="2" operator="equal">
      <formula>"Current"</formula>
    </cfRule>
    <cfRule type="cellIs" dxfId="3" priority="3" operator="equal">
      <formula>"Review soon"</formula>
    </cfRule>
    <cfRule type="cellIs" dxfId="2" priority="4" operator="equal">
      <formula>"STALE"</formula>
    </cfRule>
  </conditionalFormatting>
  <dataValidations count="1">
    <dataValidation type="list" allowBlank="1" sqref="E6:E85" xr:uid="{00000000-0002-0000-1400-000000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E8641C"/>
    <pageSetUpPr fitToPage="1"/>
  </sheetPr>
  <dimension ref="A1:F17"/>
  <sheetViews>
    <sheetView showGridLines="0" zoomScaleNormal="100" workbookViewId="0">
      <pane ySplit="5" topLeftCell="A6" activePane="bottomLeft" state="frozen"/>
      <selection pane="bottomLeft"/>
    </sheetView>
  </sheetViews>
  <sheetFormatPr defaultColWidth="8.6640625" defaultRowHeight="14.25" x14ac:dyDescent="0.45"/>
  <cols>
    <col min="1" max="1" width="4" customWidth="1"/>
    <col min="2" max="2" width="28" customWidth="1"/>
    <col min="3" max="3" width="62" customWidth="1"/>
    <col min="4" max="4" width="11" customWidth="1"/>
    <col min="5" max="5" width="15" customWidth="1"/>
    <col min="6" max="6" width="11" customWidth="1"/>
  </cols>
  <sheetData>
    <row r="1" spans="1:6" ht="30" customHeight="1" x14ac:dyDescent="0.45">
      <c r="A1" s="122" t="s">
        <v>1582</v>
      </c>
      <c r="B1" s="122"/>
      <c r="C1" s="122"/>
      <c r="D1" s="122"/>
      <c r="E1" s="122"/>
      <c r="F1" s="122"/>
    </row>
    <row r="2" spans="1:6" ht="18" customHeight="1" x14ac:dyDescent="0.45">
      <c r="A2" s="123" t="s">
        <v>1583</v>
      </c>
      <c r="B2" s="123"/>
      <c r="C2" s="123"/>
      <c r="D2" s="123"/>
      <c r="E2" s="123"/>
      <c r="F2" s="123"/>
    </row>
    <row r="3" spans="1:6" ht="21.75" customHeight="1" x14ac:dyDescent="0.45">
      <c r="A3" s="124" t="s">
        <v>1584</v>
      </c>
      <c r="B3" s="124"/>
      <c r="C3" s="124"/>
      <c r="D3" s="124"/>
      <c r="E3" s="124"/>
      <c r="F3" s="124"/>
    </row>
    <row r="5" spans="1:6" ht="30" customHeight="1" x14ac:dyDescent="0.45">
      <c r="A5" s="32" t="s">
        <v>134</v>
      </c>
      <c r="B5" s="32" t="s">
        <v>1585</v>
      </c>
      <c r="C5" s="32" t="s">
        <v>1586</v>
      </c>
      <c r="D5" s="32" t="s">
        <v>1587</v>
      </c>
      <c r="E5" s="32" t="s">
        <v>1588</v>
      </c>
      <c r="F5" s="32" t="s">
        <v>1589</v>
      </c>
    </row>
    <row r="6" spans="1:6" ht="23.25" x14ac:dyDescent="0.45">
      <c r="A6" s="80">
        <v>1</v>
      </c>
      <c r="B6" s="81" t="s">
        <v>1590</v>
      </c>
      <c r="C6" s="55" t="s">
        <v>1591</v>
      </c>
      <c r="D6" s="71"/>
      <c r="E6" s="82" t="str">
        <f t="shared" ref="E6:E15" si="0">IF($D6="","",_xlfn.SWITCH($D6,1,"Initial",2,"Developing",3,"Defined",4,"Managed",5,"Optimised"))</f>
        <v/>
      </c>
      <c r="F6" s="37" t="str">
        <f t="shared" ref="F6:F15" si="1">IF($D6="","",MAX(0,3-$D6))</f>
        <v/>
      </c>
    </row>
    <row r="7" spans="1:6" ht="23.25" x14ac:dyDescent="0.45">
      <c r="A7" s="80">
        <v>2</v>
      </c>
      <c r="B7" s="81" t="s">
        <v>537</v>
      </c>
      <c r="C7" s="55" t="s">
        <v>1592</v>
      </c>
      <c r="D7" s="71"/>
      <c r="E7" s="82" t="str">
        <f t="shared" si="0"/>
        <v/>
      </c>
      <c r="F7" s="37" t="str">
        <f t="shared" si="1"/>
        <v/>
      </c>
    </row>
    <row r="8" spans="1:6" ht="23.25" x14ac:dyDescent="0.45">
      <c r="A8" s="80">
        <v>3</v>
      </c>
      <c r="B8" s="81" t="s">
        <v>99</v>
      </c>
      <c r="C8" s="55" t="s">
        <v>1593</v>
      </c>
      <c r="D8" s="71"/>
      <c r="E8" s="82" t="str">
        <f t="shared" si="0"/>
        <v/>
      </c>
      <c r="F8" s="37" t="str">
        <f t="shared" si="1"/>
        <v/>
      </c>
    </row>
    <row r="9" spans="1:6" ht="23.25" x14ac:dyDescent="0.45">
      <c r="A9" s="80">
        <v>4</v>
      </c>
      <c r="B9" s="81" t="s">
        <v>1594</v>
      </c>
      <c r="C9" s="55" t="s">
        <v>1595</v>
      </c>
      <c r="D9" s="71"/>
      <c r="E9" s="82" t="str">
        <f t="shared" si="0"/>
        <v/>
      </c>
      <c r="F9" s="37" t="str">
        <f t="shared" si="1"/>
        <v/>
      </c>
    </row>
    <row r="10" spans="1:6" ht="23.25" x14ac:dyDescent="0.45">
      <c r="A10" s="80">
        <v>5</v>
      </c>
      <c r="B10" s="81" t="s">
        <v>1596</v>
      </c>
      <c r="C10" s="55" t="s">
        <v>1597</v>
      </c>
      <c r="D10" s="71"/>
      <c r="E10" s="82" t="str">
        <f t="shared" si="0"/>
        <v/>
      </c>
      <c r="F10" s="37" t="str">
        <f t="shared" si="1"/>
        <v/>
      </c>
    </row>
    <row r="11" spans="1:6" ht="23.25" x14ac:dyDescent="0.45">
      <c r="A11" s="80">
        <v>6</v>
      </c>
      <c r="B11" s="81" t="s">
        <v>1598</v>
      </c>
      <c r="C11" s="55" t="s">
        <v>1599</v>
      </c>
      <c r="D11" s="71"/>
      <c r="E11" s="82" t="str">
        <f t="shared" si="0"/>
        <v/>
      </c>
      <c r="F11" s="37" t="str">
        <f t="shared" si="1"/>
        <v/>
      </c>
    </row>
    <row r="12" spans="1:6" ht="23.25" x14ac:dyDescent="0.45">
      <c r="A12" s="80">
        <v>7</v>
      </c>
      <c r="B12" s="81" t="s">
        <v>419</v>
      </c>
      <c r="C12" s="55" t="s">
        <v>1600</v>
      </c>
      <c r="D12" s="71"/>
      <c r="E12" s="82" t="str">
        <f t="shared" si="0"/>
        <v/>
      </c>
      <c r="F12" s="37" t="str">
        <f t="shared" si="1"/>
        <v/>
      </c>
    </row>
    <row r="13" spans="1:6" ht="23.25" x14ac:dyDescent="0.45">
      <c r="A13" s="80">
        <v>8</v>
      </c>
      <c r="B13" s="81" t="s">
        <v>1601</v>
      </c>
      <c r="C13" s="55" t="s">
        <v>1602</v>
      </c>
      <c r="D13" s="71"/>
      <c r="E13" s="82" t="str">
        <f t="shared" si="0"/>
        <v/>
      </c>
      <c r="F13" s="37" t="str">
        <f t="shared" si="1"/>
        <v/>
      </c>
    </row>
    <row r="14" spans="1:6" ht="23.25" x14ac:dyDescent="0.45">
      <c r="A14" s="80">
        <v>9</v>
      </c>
      <c r="B14" s="81" t="s">
        <v>1603</v>
      </c>
      <c r="C14" s="55" t="s">
        <v>1604</v>
      </c>
      <c r="D14" s="71"/>
      <c r="E14" s="82" t="str">
        <f t="shared" si="0"/>
        <v/>
      </c>
      <c r="F14" s="37" t="str">
        <f t="shared" si="1"/>
        <v/>
      </c>
    </row>
    <row r="15" spans="1:6" ht="23.25" x14ac:dyDescent="0.45">
      <c r="A15" s="80">
        <v>10</v>
      </c>
      <c r="B15" s="81" t="s">
        <v>1605</v>
      </c>
      <c r="C15" s="55" t="s">
        <v>1606</v>
      </c>
      <c r="D15" s="71"/>
      <c r="E15" s="82" t="str">
        <f t="shared" si="0"/>
        <v/>
      </c>
      <c r="F15" s="37" t="str">
        <f t="shared" si="1"/>
        <v/>
      </c>
    </row>
    <row r="17" spans="2:6" ht="18.600000000000001" customHeight="1" x14ac:dyDescent="0.45">
      <c r="B17" s="2" t="s">
        <v>1607</v>
      </c>
      <c r="C17" s="2"/>
      <c r="D17" s="83">
        <f>IFERROR(AVERAGE($D$6:$D$15),0)</f>
        <v>0</v>
      </c>
      <c r="E17" s="84" t="str">
        <f>IF($D17=0,"Not scored",_xlfn.SWITCH(ROUND($D17,0),1,"Initial",2,"Developing",3,"Defined",4,"Managed",5,"Optimised"))</f>
        <v>Not scored</v>
      </c>
      <c r="F17" s="85">
        <f>MAX(0,3-$D17)</f>
        <v>3</v>
      </c>
    </row>
  </sheetData>
  <mergeCells count="4">
    <mergeCell ref="A1:F1"/>
    <mergeCell ref="A2:F2"/>
    <mergeCell ref="A3:F3"/>
    <mergeCell ref="B17:C17"/>
  </mergeCells>
  <conditionalFormatting sqref="D6:D15">
    <cfRule type="colorScale" priority="2">
      <colorScale>
        <cfvo type="num" val="1"/>
        <cfvo type="num" val="3"/>
        <cfvo type="num" val="5"/>
        <color rgb="FFF9DEDC"/>
        <color rgb="FFFFF3CD"/>
        <color rgb="FFE0F0E8"/>
      </colorScale>
    </cfRule>
  </conditionalFormatting>
  <dataValidations count="1">
    <dataValidation type="list" allowBlank="1" sqref="D6:D15" xr:uid="{00000000-0002-0000-1500-000000000000}">
      <formula1>"1,2,3,4,5"</formula1>
      <formula2>0</formula2>
    </dataValidation>
  </dataValidations>
  <printOptions horizontalCentered="1"/>
  <pageMargins left="0.75" right="0.75" top="1" bottom="1" header="0.511811023622047" footer="0.511811023622047"/>
  <pageSetup fitToHeight="0" orientation="portrait" horizontalDpi="300" verticalDpi="30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1E6B4F"/>
    <pageSetUpPr fitToPage="1"/>
  </sheetPr>
  <dimension ref="A1:G26"/>
  <sheetViews>
    <sheetView showGridLines="0" zoomScaleNormal="100" workbookViewId="0">
      <pane ySplit="5" topLeftCell="A6" activePane="bottomLeft" state="frozen"/>
      <selection pane="bottomLeft"/>
    </sheetView>
  </sheetViews>
  <sheetFormatPr defaultColWidth="8.6640625" defaultRowHeight="14.25" x14ac:dyDescent="0.45"/>
  <cols>
    <col min="1" max="1" width="7" customWidth="1"/>
    <col min="2" max="2" width="26" customWidth="1"/>
    <col min="3" max="3" width="40" customWidth="1"/>
    <col min="4" max="4" width="28" customWidth="1"/>
    <col min="5" max="5" width="15" customWidth="1"/>
    <col min="6" max="6" width="13" customWidth="1"/>
    <col min="7" max="7" width="12" customWidth="1"/>
  </cols>
  <sheetData>
    <row r="1" spans="1:7" ht="30" customHeight="1" x14ac:dyDescent="0.45">
      <c r="A1" s="122" t="s">
        <v>1608</v>
      </c>
      <c r="B1" s="122"/>
      <c r="C1" s="122"/>
      <c r="D1" s="122"/>
      <c r="E1" s="122"/>
      <c r="F1" s="122"/>
      <c r="G1" s="122"/>
    </row>
    <row r="2" spans="1:7" ht="18" customHeight="1" x14ac:dyDescent="0.45">
      <c r="A2" s="123" t="s">
        <v>1609</v>
      </c>
      <c r="B2" s="123"/>
      <c r="C2" s="123"/>
      <c r="D2" s="123"/>
      <c r="E2" s="123"/>
      <c r="F2" s="123"/>
      <c r="G2" s="123"/>
    </row>
    <row r="3" spans="1:7" ht="21.75" customHeight="1" x14ac:dyDescent="0.45">
      <c r="A3" s="124" t="s">
        <v>1610</v>
      </c>
      <c r="B3" s="124"/>
      <c r="C3" s="124"/>
      <c r="D3" s="124"/>
      <c r="E3" s="124"/>
      <c r="F3" s="124"/>
      <c r="G3" s="124"/>
    </row>
    <row r="5" spans="1:7" ht="30" customHeight="1" x14ac:dyDescent="0.45">
      <c r="A5" s="32" t="s">
        <v>165</v>
      </c>
      <c r="B5" s="32" t="s">
        <v>1611</v>
      </c>
      <c r="C5" s="32" t="s">
        <v>1612</v>
      </c>
      <c r="D5" s="32" t="s">
        <v>1613</v>
      </c>
      <c r="E5" s="32" t="s">
        <v>1614</v>
      </c>
      <c r="F5" s="32" t="s">
        <v>580</v>
      </c>
      <c r="G5" s="32" t="s">
        <v>1615</v>
      </c>
    </row>
    <row r="6" spans="1:7" ht="23.25" x14ac:dyDescent="0.45">
      <c r="A6" s="86" t="s">
        <v>1616</v>
      </c>
      <c r="B6" s="87" t="s">
        <v>1617</v>
      </c>
      <c r="C6" s="48" t="s">
        <v>1618</v>
      </c>
      <c r="D6" s="88" t="s">
        <v>1619</v>
      </c>
      <c r="E6" s="89">
        <f>IFERROR(COUNTIF('1. AI Systems'!$M$6:$M$65,"&lt;&gt;")/MAX(1,COUNTA('1. AI Systems'!$B$6:$B$65)),0)</f>
        <v>60</v>
      </c>
      <c r="F6" s="47" t="str">
        <f t="shared" ref="F6:F26" si="0">IF($E6="","—","Review")</f>
        <v>Review</v>
      </c>
      <c r="G6" s="30" t="s">
        <v>1620</v>
      </c>
    </row>
    <row r="7" spans="1:7" ht="23.25" x14ac:dyDescent="0.45">
      <c r="A7" s="86" t="s">
        <v>1616</v>
      </c>
      <c r="B7" s="87" t="s">
        <v>1621</v>
      </c>
      <c r="C7" s="48" t="s">
        <v>1622</v>
      </c>
      <c r="D7" s="88" t="s">
        <v>1623</v>
      </c>
      <c r="E7" s="46"/>
      <c r="F7" s="47" t="str">
        <f t="shared" si="0"/>
        <v>—</v>
      </c>
      <c r="G7" s="30" t="s">
        <v>1620</v>
      </c>
    </row>
    <row r="8" spans="1:7" x14ac:dyDescent="0.45">
      <c r="A8" s="86" t="s">
        <v>1616</v>
      </c>
      <c r="B8" s="87" t="s">
        <v>1624</v>
      </c>
      <c r="C8" s="48" t="s">
        <v>1625</v>
      </c>
      <c r="D8" s="88" t="s">
        <v>1626</v>
      </c>
      <c r="E8" s="46"/>
      <c r="F8" s="47" t="str">
        <f t="shared" si="0"/>
        <v>—</v>
      </c>
      <c r="G8" s="30" t="s">
        <v>1620</v>
      </c>
    </row>
    <row r="9" spans="1:7" x14ac:dyDescent="0.45">
      <c r="A9" s="86" t="s">
        <v>1616</v>
      </c>
      <c r="B9" s="87" t="s">
        <v>1627</v>
      </c>
      <c r="C9" s="48" t="s">
        <v>1628</v>
      </c>
      <c r="D9" s="88" t="s">
        <v>1623</v>
      </c>
      <c r="E9" s="46"/>
      <c r="F9" s="47" t="str">
        <f t="shared" si="0"/>
        <v>—</v>
      </c>
      <c r="G9" s="30" t="s">
        <v>1620</v>
      </c>
    </row>
    <row r="10" spans="1:7" x14ac:dyDescent="0.45">
      <c r="A10" s="86" t="s">
        <v>1616</v>
      </c>
      <c r="B10" s="87" t="s">
        <v>1629</v>
      </c>
      <c r="C10" s="48" t="s">
        <v>1630</v>
      </c>
      <c r="D10" s="88" t="s">
        <v>1631</v>
      </c>
      <c r="E10" s="89">
        <f>IFERROR(COUNTIF('8. Checklist'!$E$6:$E$265,"Complete")/MAX(1,COUNTA('8. Checklist'!$A$6:$A$265)-COUNTIF('8. Checklist'!$E$6:$E$265,"N/A")),0)</f>
        <v>0</v>
      </c>
      <c r="F10" s="47" t="str">
        <f t="shared" si="0"/>
        <v>Review</v>
      </c>
      <c r="G10" s="30" t="s">
        <v>1620</v>
      </c>
    </row>
    <row r="11" spans="1:7" x14ac:dyDescent="0.45">
      <c r="A11" s="86" t="s">
        <v>1616</v>
      </c>
      <c r="B11" s="87" t="s">
        <v>1632</v>
      </c>
      <c r="C11" s="48" t="s">
        <v>1633</v>
      </c>
      <c r="D11" s="88" t="s">
        <v>1634</v>
      </c>
      <c r="E11" s="46"/>
      <c r="F11" s="47" t="str">
        <f t="shared" si="0"/>
        <v>—</v>
      </c>
      <c r="G11" s="30" t="s">
        <v>1620</v>
      </c>
    </row>
    <row r="12" spans="1:7" x14ac:dyDescent="0.45">
      <c r="A12" s="86" t="s">
        <v>1616</v>
      </c>
      <c r="B12" s="87" t="s">
        <v>1635</v>
      </c>
      <c r="C12" s="48" t="s">
        <v>1636</v>
      </c>
      <c r="D12" s="88" t="s">
        <v>1623</v>
      </c>
      <c r="E12" s="46"/>
      <c r="F12" s="47" t="str">
        <f t="shared" si="0"/>
        <v>—</v>
      </c>
      <c r="G12" s="30" t="s">
        <v>1620</v>
      </c>
    </row>
    <row r="13" spans="1:7" ht="23.25" x14ac:dyDescent="0.45">
      <c r="A13" s="90" t="s">
        <v>1637</v>
      </c>
      <c r="B13" s="87" t="s">
        <v>1638</v>
      </c>
      <c r="C13" s="48" t="s">
        <v>1639</v>
      </c>
      <c r="D13" s="88" t="s">
        <v>1640</v>
      </c>
      <c r="E13" s="46"/>
      <c r="F13" s="47" t="str">
        <f t="shared" si="0"/>
        <v>—</v>
      </c>
      <c r="G13" s="30" t="s">
        <v>1641</v>
      </c>
    </row>
    <row r="14" spans="1:7" ht="23.25" x14ac:dyDescent="0.45">
      <c r="A14" s="90" t="s">
        <v>1637</v>
      </c>
      <c r="B14" s="87" t="s">
        <v>1642</v>
      </c>
      <c r="C14" s="48" t="s">
        <v>1643</v>
      </c>
      <c r="D14" s="88" t="s">
        <v>1644</v>
      </c>
      <c r="E14" s="46"/>
      <c r="F14" s="47" t="str">
        <f t="shared" si="0"/>
        <v>—</v>
      </c>
      <c r="G14" s="30" t="s">
        <v>1641</v>
      </c>
    </row>
    <row r="15" spans="1:7" ht="23.25" x14ac:dyDescent="0.45">
      <c r="A15" s="90" t="s">
        <v>1637</v>
      </c>
      <c r="B15" s="87" t="s">
        <v>1645</v>
      </c>
      <c r="C15" s="48" t="s">
        <v>1646</v>
      </c>
      <c r="D15" s="88" t="s">
        <v>1647</v>
      </c>
      <c r="E15" s="46"/>
      <c r="F15" s="47" t="str">
        <f t="shared" si="0"/>
        <v>—</v>
      </c>
      <c r="G15" s="30" t="s">
        <v>1641</v>
      </c>
    </row>
    <row r="16" spans="1:7" ht="23.25" x14ac:dyDescent="0.45">
      <c r="A16" s="90" t="s">
        <v>1637</v>
      </c>
      <c r="B16" s="87" t="s">
        <v>1648</v>
      </c>
      <c r="C16" s="48" t="s">
        <v>1649</v>
      </c>
      <c r="D16" s="88" t="s">
        <v>1650</v>
      </c>
      <c r="E16" s="46"/>
      <c r="F16" s="47" t="str">
        <f t="shared" si="0"/>
        <v>—</v>
      </c>
      <c r="G16" s="30" t="s">
        <v>1641</v>
      </c>
    </row>
    <row r="17" spans="1:7" ht="23.25" x14ac:dyDescent="0.45">
      <c r="A17" s="90" t="s">
        <v>1637</v>
      </c>
      <c r="B17" s="87" t="s">
        <v>1651</v>
      </c>
      <c r="C17" s="48" t="s">
        <v>1652</v>
      </c>
      <c r="D17" s="88" t="s">
        <v>1653</v>
      </c>
      <c r="E17" s="46"/>
      <c r="F17" s="47" t="str">
        <f t="shared" si="0"/>
        <v>—</v>
      </c>
      <c r="G17" s="30" t="s">
        <v>1641</v>
      </c>
    </row>
    <row r="18" spans="1:7" ht="23.25" x14ac:dyDescent="0.45">
      <c r="A18" s="90" t="s">
        <v>1637</v>
      </c>
      <c r="B18" s="87" t="s">
        <v>1654</v>
      </c>
      <c r="C18" s="48" t="s">
        <v>1655</v>
      </c>
      <c r="D18" s="88" t="s">
        <v>1656</v>
      </c>
      <c r="E18" s="46"/>
      <c r="F18" s="47" t="str">
        <f t="shared" si="0"/>
        <v>—</v>
      </c>
      <c r="G18" s="30" t="s">
        <v>1641</v>
      </c>
    </row>
    <row r="19" spans="1:7" ht="23.25" x14ac:dyDescent="0.45">
      <c r="A19" s="90" t="s">
        <v>1637</v>
      </c>
      <c r="B19" s="87" t="s">
        <v>1657</v>
      </c>
      <c r="C19" s="48" t="s">
        <v>1658</v>
      </c>
      <c r="D19" s="88" t="s">
        <v>1659</v>
      </c>
      <c r="E19" s="46"/>
      <c r="F19" s="47" t="str">
        <f t="shared" si="0"/>
        <v>—</v>
      </c>
      <c r="G19" s="30" t="s">
        <v>1641</v>
      </c>
    </row>
    <row r="20" spans="1:7" ht="23.25" x14ac:dyDescent="0.45">
      <c r="A20" s="90" t="s">
        <v>1637</v>
      </c>
      <c r="B20" s="87" t="s">
        <v>1660</v>
      </c>
      <c r="C20" s="48" t="s">
        <v>1661</v>
      </c>
      <c r="D20" s="88" t="s">
        <v>1662</v>
      </c>
      <c r="E20" s="46"/>
      <c r="F20" s="47" t="str">
        <f t="shared" si="0"/>
        <v>—</v>
      </c>
      <c r="G20" s="30" t="s">
        <v>1641</v>
      </c>
    </row>
    <row r="21" spans="1:7" x14ac:dyDescent="0.45">
      <c r="A21" s="86" t="s">
        <v>1663</v>
      </c>
      <c r="B21" s="87" t="s">
        <v>1664</v>
      </c>
      <c r="C21" s="48" t="s">
        <v>1665</v>
      </c>
      <c r="D21" s="88" t="s">
        <v>1666</v>
      </c>
      <c r="E21" s="46"/>
      <c r="F21" s="47" t="str">
        <f t="shared" si="0"/>
        <v>—</v>
      </c>
      <c r="G21" s="30" t="s">
        <v>1620</v>
      </c>
    </row>
    <row r="22" spans="1:7" x14ac:dyDescent="0.45">
      <c r="A22" s="86" t="s">
        <v>1663</v>
      </c>
      <c r="B22" s="87" t="s">
        <v>1667</v>
      </c>
      <c r="C22" s="48" t="s">
        <v>1668</v>
      </c>
      <c r="D22" s="88" t="s">
        <v>1669</v>
      </c>
      <c r="E22" s="91">
        <f>'20. Maturity'!$D$17</f>
        <v>0</v>
      </c>
      <c r="F22" s="47" t="str">
        <f t="shared" si="0"/>
        <v>Review</v>
      </c>
      <c r="G22" s="30" t="s">
        <v>1620</v>
      </c>
    </row>
    <row r="23" spans="1:7" x14ac:dyDescent="0.45">
      <c r="A23" s="86" t="s">
        <v>1663</v>
      </c>
      <c r="B23" s="87" t="s">
        <v>1670</v>
      </c>
      <c r="C23" s="48" t="s">
        <v>1671</v>
      </c>
      <c r="D23" s="88" t="s">
        <v>1672</v>
      </c>
      <c r="E23" s="46"/>
      <c r="F23" s="47" t="str">
        <f t="shared" si="0"/>
        <v>—</v>
      </c>
      <c r="G23" s="30" t="s">
        <v>1620</v>
      </c>
    </row>
    <row r="24" spans="1:7" x14ac:dyDescent="0.45">
      <c r="A24" s="86" t="s">
        <v>1663</v>
      </c>
      <c r="B24" s="87" t="s">
        <v>1673</v>
      </c>
      <c r="C24" s="48" t="s">
        <v>1674</v>
      </c>
      <c r="D24" s="88" t="s">
        <v>1675</v>
      </c>
      <c r="E24" s="46"/>
      <c r="F24" s="47" t="str">
        <f t="shared" si="0"/>
        <v>—</v>
      </c>
      <c r="G24" s="30" t="s">
        <v>1620</v>
      </c>
    </row>
    <row r="25" spans="1:7" x14ac:dyDescent="0.45">
      <c r="A25" s="86" t="s">
        <v>1663</v>
      </c>
      <c r="B25" s="87" t="s">
        <v>1676</v>
      </c>
      <c r="C25" s="48" t="s">
        <v>1677</v>
      </c>
      <c r="D25" s="88" t="s">
        <v>1678</v>
      </c>
      <c r="E25" s="46"/>
      <c r="F25" s="47" t="str">
        <f t="shared" si="0"/>
        <v>—</v>
      </c>
      <c r="G25" s="30" t="s">
        <v>1679</v>
      </c>
    </row>
    <row r="26" spans="1:7" x14ac:dyDescent="0.45">
      <c r="A26" s="86" t="s">
        <v>1663</v>
      </c>
      <c r="B26" s="87" t="s">
        <v>1680</v>
      </c>
      <c r="C26" s="48" t="s">
        <v>1681</v>
      </c>
      <c r="D26" s="88" t="s">
        <v>1682</v>
      </c>
      <c r="E26" s="46"/>
      <c r="F26" s="47" t="str">
        <f t="shared" si="0"/>
        <v>—</v>
      </c>
      <c r="G26" s="30" t="s">
        <v>1620</v>
      </c>
    </row>
  </sheetData>
  <mergeCells count="3">
    <mergeCell ref="A1:G1"/>
    <mergeCell ref="A2:G2"/>
    <mergeCell ref="A3:G3"/>
  </mergeCells>
  <printOptions horizontalCentered="1"/>
  <pageMargins left="0.75" right="0.75" top="1" bottom="1" header="0.511811023622047" footer="0.511811023622047"/>
  <pageSetup fitToHeight="0"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11A43"/>
    <pageSetUpPr fitToPage="1"/>
  </sheetPr>
  <dimension ref="A1:F9"/>
  <sheetViews>
    <sheetView showGridLines="0" zoomScaleNormal="100" workbookViewId="0"/>
  </sheetViews>
  <sheetFormatPr defaultColWidth="8.6640625" defaultRowHeight="14.25" x14ac:dyDescent="0.45"/>
  <cols>
    <col min="1" max="1" width="24" customWidth="1"/>
    <col min="2" max="2" width="13" customWidth="1"/>
    <col min="3" max="3" width="50" customWidth="1"/>
    <col min="4" max="4" width="42" customWidth="1"/>
    <col min="5" max="6" width="14" customWidth="1"/>
  </cols>
  <sheetData>
    <row r="1" spans="1:6" ht="30" customHeight="1" x14ac:dyDescent="0.45">
      <c r="A1" s="122" t="s">
        <v>1683</v>
      </c>
      <c r="B1" s="122"/>
      <c r="C1" s="122"/>
      <c r="D1" s="122"/>
      <c r="E1" s="122"/>
      <c r="F1" s="122"/>
    </row>
    <row r="2" spans="1:6" ht="18" customHeight="1" x14ac:dyDescent="0.45">
      <c r="A2" s="123" t="s">
        <v>1684</v>
      </c>
      <c r="B2" s="123"/>
      <c r="C2" s="123"/>
      <c r="D2" s="123"/>
      <c r="E2" s="123"/>
      <c r="F2" s="123"/>
    </row>
    <row r="3" spans="1:6" ht="21.75" customHeight="1" x14ac:dyDescent="0.45">
      <c r="A3" s="124" t="s">
        <v>1685</v>
      </c>
      <c r="B3" s="124"/>
      <c r="C3" s="124"/>
      <c r="D3" s="124"/>
      <c r="E3" s="124"/>
      <c r="F3" s="124"/>
    </row>
    <row r="5" spans="1:6" ht="30" customHeight="1" x14ac:dyDescent="0.45">
      <c r="A5" s="32" t="s">
        <v>1686</v>
      </c>
      <c r="B5" s="32" t="s">
        <v>1687</v>
      </c>
      <c r="C5" s="32" t="s">
        <v>1688</v>
      </c>
      <c r="D5" s="32" t="s">
        <v>1689</v>
      </c>
      <c r="E5" s="32" t="s">
        <v>820</v>
      </c>
      <c r="F5" s="32" t="s">
        <v>580</v>
      </c>
    </row>
    <row r="6" spans="1:6" ht="72" customHeight="1" x14ac:dyDescent="0.45">
      <c r="A6" s="92" t="s">
        <v>1690</v>
      </c>
      <c r="B6" s="93" t="s">
        <v>1691</v>
      </c>
      <c r="C6" s="48" t="s">
        <v>1692</v>
      </c>
      <c r="D6" s="94" t="s">
        <v>1693</v>
      </c>
      <c r="E6" s="39"/>
      <c r="F6" s="95"/>
    </row>
    <row r="7" spans="1:6" ht="72" customHeight="1" x14ac:dyDescent="0.45">
      <c r="A7" s="96" t="s">
        <v>1694</v>
      </c>
      <c r="B7" s="93" t="s">
        <v>1695</v>
      </c>
      <c r="C7" s="48" t="s">
        <v>1696</v>
      </c>
      <c r="D7" s="94" t="s">
        <v>1697</v>
      </c>
      <c r="E7" s="39"/>
      <c r="F7" s="95"/>
    </row>
    <row r="8" spans="1:6" ht="72" customHeight="1" x14ac:dyDescent="0.45">
      <c r="A8" s="97" t="s">
        <v>1698</v>
      </c>
      <c r="B8" s="93" t="s">
        <v>1699</v>
      </c>
      <c r="C8" s="48" t="s">
        <v>1700</v>
      </c>
      <c r="D8" s="94" t="s">
        <v>1701</v>
      </c>
      <c r="E8" s="39"/>
      <c r="F8" s="95"/>
    </row>
    <row r="9" spans="1:6" ht="72" customHeight="1" x14ac:dyDescent="0.45">
      <c r="A9" s="98" t="s">
        <v>1702</v>
      </c>
      <c r="B9" s="93" t="s">
        <v>1703</v>
      </c>
      <c r="C9" s="48" t="s">
        <v>1704</v>
      </c>
      <c r="D9" s="94" t="s">
        <v>1705</v>
      </c>
      <c r="E9" s="39"/>
      <c r="F9" s="95"/>
    </row>
  </sheetData>
  <mergeCells count="3">
    <mergeCell ref="A1:F1"/>
    <mergeCell ref="A2:F2"/>
    <mergeCell ref="A3:F3"/>
  </mergeCells>
  <conditionalFormatting sqref="F6:F9">
    <cfRule type="cellIs" dxfId="1" priority="2" operator="equal">
      <formula>"Complete"</formula>
    </cfRule>
    <cfRule type="cellIs" dxfId="0" priority="3" operator="equal">
      <formula>"In Progress"</formula>
    </cfRule>
  </conditionalFormatting>
  <dataValidations count="1">
    <dataValidation type="list" allowBlank="1" sqref="F6:F9" xr:uid="{00000000-0002-0000-1700-000000000000}">
      <formula1>"Not Started,In Progress,Complete"</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11A43"/>
    <pageSetUpPr fitToPage="1"/>
  </sheetPr>
  <dimension ref="A1:D117"/>
  <sheetViews>
    <sheetView showGridLines="0" zoomScaleNormal="100" workbookViewId="0">
      <pane ySplit="5" topLeftCell="A6" activePane="bottomLeft" state="frozen"/>
      <selection pane="bottomLeft"/>
    </sheetView>
  </sheetViews>
  <sheetFormatPr defaultColWidth="8.6640625" defaultRowHeight="14.25" x14ac:dyDescent="0.45"/>
  <cols>
    <col min="1" max="1" width="30" customWidth="1"/>
    <col min="2" max="2" width="16" customWidth="1"/>
    <col min="3" max="3" width="72" customWidth="1"/>
    <col min="4" max="4" width="62" customWidth="1"/>
  </cols>
  <sheetData>
    <row r="1" spans="1:4" ht="30" customHeight="1" x14ac:dyDescent="0.45">
      <c r="A1" s="122" t="s">
        <v>1706</v>
      </c>
      <c r="B1" s="122"/>
      <c r="C1" s="122"/>
      <c r="D1" s="122"/>
    </row>
    <row r="2" spans="1:4" ht="18" customHeight="1" x14ac:dyDescent="0.45">
      <c r="A2" s="123" t="s">
        <v>1707</v>
      </c>
      <c r="B2" s="123"/>
      <c r="C2" s="123"/>
      <c r="D2" s="123"/>
    </row>
    <row r="3" spans="1:4" ht="21.75" customHeight="1" x14ac:dyDescent="0.45">
      <c r="A3" s="124" t="s">
        <v>1708</v>
      </c>
      <c r="B3" s="124"/>
      <c r="C3" s="124"/>
      <c r="D3" s="124"/>
    </row>
    <row r="5" spans="1:4" ht="30" customHeight="1" x14ac:dyDescent="0.45">
      <c r="A5" s="32" t="s">
        <v>1709</v>
      </c>
      <c r="B5" s="32" t="s">
        <v>1362</v>
      </c>
      <c r="C5" s="32" t="s">
        <v>1710</v>
      </c>
      <c r="D5" s="32" t="s">
        <v>1711</v>
      </c>
    </row>
    <row r="6" spans="1:4" x14ac:dyDescent="0.45">
      <c r="A6" s="57" t="s">
        <v>1712</v>
      </c>
      <c r="B6" s="99" t="s">
        <v>1713</v>
      </c>
      <c r="C6" s="42" t="s">
        <v>1714</v>
      </c>
      <c r="D6" s="100" t="s">
        <v>1715</v>
      </c>
    </row>
    <row r="7" spans="1:4" ht="23.25" x14ac:dyDescent="0.45">
      <c r="A7" s="57" t="s">
        <v>1716</v>
      </c>
      <c r="B7" s="101" t="s">
        <v>1713</v>
      </c>
      <c r="C7" s="48" t="s">
        <v>1717</v>
      </c>
      <c r="D7" s="102" t="s">
        <v>1718</v>
      </c>
    </row>
    <row r="8" spans="1:4" ht="23.25" x14ac:dyDescent="0.45">
      <c r="A8" s="57" t="s">
        <v>356</v>
      </c>
      <c r="B8" s="103" t="s">
        <v>1719</v>
      </c>
      <c r="C8" s="42" t="s">
        <v>1720</v>
      </c>
      <c r="D8" s="100" t="s">
        <v>1721</v>
      </c>
    </row>
    <row r="9" spans="1:4" ht="23.25" x14ac:dyDescent="0.45">
      <c r="A9" s="57" t="s">
        <v>1722</v>
      </c>
      <c r="B9" s="104" t="s">
        <v>1723</v>
      </c>
      <c r="C9" s="48" t="s">
        <v>1724</v>
      </c>
      <c r="D9" s="102" t="s">
        <v>1725</v>
      </c>
    </row>
    <row r="10" spans="1:4" x14ac:dyDescent="0.45">
      <c r="A10" s="57" t="s">
        <v>1726</v>
      </c>
      <c r="B10" s="105" t="s">
        <v>1727</v>
      </c>
      <c r="C10" s="42" t="s">
        <v>1728</v>
      </c>
      <c r="D10" s="100" t="s">
        <v>1729</v>
      </c>
    </row>
    <row r="11" spans="1:4" x14ac:dyDescent="0.45">
      <c r="A11" s="57" t="s">
        <v>1730</v>
      </c>
      <c r="B11" s="101" t="s">
        <v>1713</v>
      </c>
      <c r="C11" s="48" t="s">
        <v>1731</v>
      </c>
      <c r="D11" s="102" t="s">
        <v>1732</v>
      </c>
    </row>
    <row r="12" spans="1:4" ht="23.25" x14ac:dyDescent="0.45">
      <c r="A12" s="57" t="s">
        <v>1733</v>
      </c>
      <c r="B12" s="106" t="s">
        <v>1734</v>
      </c>
      <c r="C12" s="42" t="s">
        <v>1735</v>
      </c>
      <c r="D12" s="100" t="s">
        <v>1736</v>
      </c>
    </row>
    <row r="13" spans="1:4" ht="23.25" x14ac:dyDescent="0.45">
      <c r="A13" s="57" t="s">
        <v>1737</v>
      </c>
      <c r="B13" s="107" t="s">
        <v>1734</v>
      </c>
      <c r="C13" s="48" t="s">
        <v>1738</v>
      </c>
      <c r="D13" s="102" t="s">
        <v>1739</v>
      </c>
    </row>
    <row r="14" spans="1:4" ht="23.25" x14ac:dyDescent="0.45">
      <c r="A14" s="57" t="s">
        <v>1740</v>
      </c>
      <c r="B14" s="108" t="s">
        <v>1741</v>
      </c>
      <c r="C14" s="42" t="s">
        <v>1742</v>
      </c>
      <c r="D14" s="100" t="s">
        <v>1743</v>
      </c>
    </row>
    <row r="15" spans="1:4" ht="23.25" x14ac:dyDescent="0.45">
      <c r="A15" s="57" t="s">
        <v>1744</v>
      </c>
      <c r="B15" s="109" t="s">
        <v>1741</v>
      </c>
      <c r="C15" s="48" t="s">
        <v>1745</v>
      </c>
      <c r="D15" s="102" t="s">
        <v>1746</v>
      </c>
    </row>
    <row r="16" spans="1:4" x14ac:dyDescent="0.45">
      <c r="A16" s="57" t="s">
        <v>1747</v>
      </c>
      <c r="B16" s="108" t="s">
        <v>1741</v>
      </c>
      <c r="C16" s="42" t="s">
        <v>1748</v>
      </c>
      <c r="D16" s="100" t="s">
        <v>1749</v>
      </c>
    </row>
    <row r="17" spans="1:4" ht="23.25" x14ac:dyDescent="0.45">
      <c r="A17" s="57" t="s">
        <v>1750</v>
      </c>
      <c r="B17" s="109" t="s">
        <v>1741</v>
      </c>
      <c r="C17" s="48" t="s">
        <v>1751</v>
      </c>
      <c r="D17" s="102" t="s">
        <v>1752</v>
      </c>
    </row>
    <row r="18" spans="1:4" x14ac:dyDescent="0.45">
      <c r="A18" s="57" t="s">
        <v>1753</v>
      </c>
      <c r="B18" s="108" t="s">
        <v>1741</v>
      </c>
      <c r="C18" s="42" t="s">
        <v>1754</v>
      </c>
      <c r="D18" s="100" t="s">
        <v>1755</v>
      </c>
    </row>
    <row r="19" spans="1:4" x14ac:dyDescent="0.45">
      <c r="A19" s="57" t="s">
        <v>1756</v>
      </c>
      <c r="B19" s="109" t="s">
        <v>1741</v>
      </c>
      <c r="C19" s="48" t="s">
        <v>1757</v>
      </c>
      <c r="D19" s="102" t="s">
        <v>1758</v>
      </c>
    </row>
    <row r="20" spans="1:4" ht="23.25" x14ac:dyDescent="0.45">
      <c r="A20" s="57" t="s">
        <v>1759</v>
      </c>
      <c r="B20" s="108" t="s">
        <v>1741</v>
      </c>
      <c r="C20" s="42" t="s">
        <v>1760</v>
      </c>
      <c r="D20" s="100" t="s">
        <v>1761</v>
      </c>
    </row>
    <row r="21" spans="1:4" x14ac:dyDescent="0.45">
      <c r="A21" s="57" t="s">
        <v>1762</v>
      </c>
      <c r="B21" s="110" t="s">
        <v>1727</v>
      </c>
      <c r="C21" s="48" t="s">
        <v>1763</v>
      </c>
      <c r="D21" s="102" t="s">
        <v>1764</v>
      </c>
    </row>
    <row r="22" spans="1:4" ht="23.25" x14ac:dyDescent="0.45">
      <c r="A22" s="57" t="s">
        <v>1765</v>
      </c>
      <c r="B22" s="99" t="s">
        <v>1713</v>
      </c>
      <c r="C22" s="42" t="s">
        <v>1766</v>
      </c>
      <c r="D22" s="100" t="s">
        <v>1767</v>
      </c>
    </row>
    <row r="23" spans="1:4" ht="23.25" x14ac:dyDescent="0.45">
      <c r="A23" s="57" t="s">
        <v>1768</v>
      </c>
      <c r="B23" s="101" t="s">
        <v>1713</v>
      </c>
      <c r="C23" s="48" t="s">
        <v>1769</v>
      </c>
      <c r="D23" s="102" t="s">
        <v>1770</v>
      </c>
    </row>
    <row r="24" spans="1:4" ht="23.25" x14ac:dyDescent="0.45">
      <c r="A24" s="57" t="s">
        <v>1771</v>
      </c>
      <c r="B24" s="103" t="s">
        <v>1719</v>
      </c>
      <c r="C24" s="42" t="s">
        <v>1772</v>
      </c>
      <c r="D24" s="100" t="s">
        <v>1773</v>
      </c>
    </row>
    <row r="25" spans="1:4" x14ac:dyDescent="0.45">
      <c r="A25" s="57" t="s">
        <v>1774</v>
      </c>
      <c r="B25" s="101" t="s">
        <v>643</v>
      </c>
      <c r="C25" s="48" t="s">
        <v>1775</v>
      </c>
      <c r="D25" s="102" t="s">
        <v>1776</v>
      </c>
    </row>
    <row r="26" spans="1:4" ht="23.25" x14ac:dyDescent="0.45">
      <c r="A26" s="57" t="s">
        <v>1777</v>
      </c>
      <c r="B26" s="103" t="s">
        <v>1778</v>
      </c>
      <c r="C26" s="42" t="s">
        <v>1779</v>
      </c>
      <c r="D26" s="100" t="s">
        <v>1780</v>
      </c>
    </row>
    <row r="27" spans="1:4" ht="23.25" x14ac:dyDescent="0.45">
      <c r="A27" s="57" t="s">
        <v>1781</v>
      </c>
      <c r="B27" s="109" t="s">
        <v>1741</v>
      </c>
      <c r="C27" s="48" t="s">
        <v>1782</v>
      </c>
      <c r="D27" s="102" t="s">
        <v>1783</v>
      </c>
    </row>
    <row r="28" spans="1:4" x14ac:dyDescent="0.45">
      <c r="A28" s="57" t="s">
        <v>1784</v>
      </c>
      <c r="B28" s="103" t="s">
        <v>1719</v>
      </c>
      <c r="C28" s="42" t="s">
        <v>1785</v>
      </c>
      <c r="D28" s="100" t="s">
        <v>1786</v>
      </c>
    </row>
    <row r="29" spans="1:4" ht="23.25" x14ac:dyDescent="0.45">
      <c r="A29" s="57" t="s">
        <v>445</v>
      </c>
      <c r="B29" s="111" t="s">
        <v>1719</v>
      </c>
      <c r="C29" s="48" t="s">
        <v>1787</v>
      </c>
      <c r="D29" s="102" t="s">
        <v>1788</v>
      </c>
    </row>
    <row r="30" spans="1:4" ht="23.25" x14ac:dyDescent="0.45">
      <c r="A30" s="57" t="s">
        <v>1789</v>
      </c>
      <c r="B30" s="106" t="s">
        <v>1734</v>
      </c>
      <c r="C30" s="42" t="s">
        <v>1790</v>
      </c>
      <c r="D30" s="100" t="s">
        <v>1791</v>
      </c>
    </row>
    <row r="31" spans="1:4" ht="23.25" x14ac:dyDescent="0.45">
      <c r="A31" s="57" t="s">
        <v>1792</v>
      </c>
      <c r="B31" s="109" t="s">
        <v>1741</v>
      </c>
      <c r="C31" s="48" t="s">
        <v>1793</v>
      </c>
      <c r="D31" s="102" t="s">
        <v>1794</v>
      </c>
    </row>
    <row r="32" spans="1:4" x14ac:dyDescent="0.45">
      <c r="A32" s="57" t="s">
        <v>1795</v>
      </c>
      <c r="B32" s="105" t="s">
        <v>1727</v>
      </c>
      <c r="C32" s="42" t="s">
        <v>1796</v>
      </c>
      <c r="D32" s="100" t="s">
        <v>1797</v>
      </c>
    </row>
    <row r="33" spans="1:4" ht="23.25" x14ac:dyDescent="0.45">
      <c r="A33" s="57" t="s">
        <v>1798</v>
      </c>
      <c r="B33" s="104" t="s">
        <v>1799</v>
      </c>
      <c r="C33" s="48" t="s">
        <v>1800</v>
      </c>
      <c r="D33" s="102" t="s">
        <v>1801</v>
      </c>
    </row>
    <row r="34" spans="1:4" x14ac:dyDescent="0.45">
      <c r="A34" s="57" t="s">
        <v>1802</v>
      </c>
      <c r="B34" s="103" t="s">
        <v>1778</v>
      </c>
      <c r="C34" s="42" t="s">
        <v>1803</v>
      </c>
      <c r="D34" s="100" t="s">
        <v>1804</v>
      </c>
    </row>
    <row r="35" spans="1:4" ht="23.25" x14ac:dyDescent="0.45">
      <c r="A35" s="57" t="s">
        <v>1805</v>
      </c>
      <c r="B35" s="111" t="s">
        <v>1719</v>
      </c>
      <c r="C35" s="48" t="s">
        <v>1806</v>
      </c>
      <c r="D35" s="102" t="s">
        <v>1807</v>
      </c>
    </row>
    <row r="36" spans="1:4" ht="23.25" x14ac:dyDescent="0.45">
      <c r="A36" s="57" t="s">
        <v>1808</v>
      </c>
      <c r="B36" s="112" t="s">
        <v>1723</v>
      </c>
      <c r="C36" s="42" t="s">
        <v>1809</v>
      </c>
      <c r="D36" s="100" t="s">
        <v>1810</v>
      </c>
    </row>
    <row r="37" spans="1:4" x14ac:dyDescent="0.45">
      <c r="A37" s="57" t="s">
        <v>718</v>
      </c>
      <c r="B37" s="101" t="s">
        <v>643</v>
      </c>
      <c r="C37" s="48" t="s">
        <v>1811</v>
      </c>
      <c r="D37" s="102" t="s">
        <v>1812</v>
      </c>
    </row>
    <row r="38" spans="1:4" x14ac:dyDescent="0.45">
      <c r="A38" s="57" t="s">
        <v>1813</v>
      </c>
      <c r="B38" s="105" t="s">
        <v>1727</v>
      </c>
      <c r="C38" s="42" t="s">
        <v>1814</v>
      </c>
      <c r="D38" s="100" t="s">
        <v>1815</v>
      </c>
    </row>
    <row r="39" spans="1:4" ht="23.25" x14ac:dyDescent="0.45">
      <c r="A39" s="57" t="s">
        <v>1493</v>
      </c>
      <c r="B39" s="109" t="s">
        <v>1816</v>
      </c>
      <c r="C39" s="48" t="s">
        <v>1817</v>
      </c>
      <c r="D39" s="102" t="s">
        <v>1818</v>
      </c>
    </row>
    <row r="40" spans="1:4" ht="23.25" x14ac:dyDescent="0.45">
      <c r="A40" s="57" t="s">
        <v>1819</v>
      </c>
      <c r="B40" s="108" t="s">
        <v>1741</v>
      </c>
      <c r="C40" s="42" t="s">
        <v>1820</v>
      </c>
      <c r="D40" s="100" t="s">
        <v>1821</v>
      </c>
    </row>
    <row r="41" spans="1:4" ht="23.25" x14ac:dyDescent="0.45">
      <c r="A41" s="57" t="s">
        <v>1822</v>
      </c>
      <c r="B41" s="109" t="s">
        <v>1816</v>
      </c>
      <c r="C41" s="48" t="s">
        <v>1823</v>
      </c>
      <c r="D41" s="102" t="s">
        <v>1824</v>
      </c>
    </row>
    <row r="42" spans="1:4" ht="23.25" x14ac:dyDescent="0.45">
      <c r="A42" s="57" t="s">
        <v>1825</v>
      </c>
      <c r="B42" s="108" t="s">
        <v>1741</v>
      </c>
      <c r="C42" s="42" t="s">
        <v>1826</v>
      </c>
      <c r="D42" s="100" t="s">
        <v>1827</v>
      </c>
    </row>
    <row r="43" spans="1:4" x14ac:dyDescent="0.45">
      <c r="A43" s="57" t="s">
        <v>459</v>
      </c>
      <c r="B43" s="111" t="s">
        <v>1719</v>
      </c>
      <c r="C43" s="48" t="s">
        <v>1828</v>
      </c>
      <c r="D43" s="102" t="s">
        <v>1829</v>
      </c>
    </row>
    <row r="44" spans="1:4" ht="23.25" x14ac:dyDescent="0.45">
      <c r="A44" s="57" t="s">
        <v>1830</v>
      </c>
      <c r="B44" s="99" t="s">
        <v>1713</v>
      </c>
      <c r="C44" s="42" t="s">
        <v>1831</v>
      </c>
      <c r="D44" s="100" t="s">
        <v>1832</v>
      </c>
    </row>
    <row r="45" spans="1:4" ht="23.25" x14ac:dyDescent="0.45">
      <c r="A45" s="57" t="s">
        <v>1833</v>
      </c>
      <c r="B45" s="101" t="s">
        <v>1713</v>
      </c>
      <c r="C45" s="48" t="s">
        <v>1834</v>
      </c>
      <c r="D45" s="102" t="s">
        <v>1835</v>
      </c>
    </row>
    <row r="46" spans="1:4" ht="23.25" x14ac:dyDescent="0.45">
      <c r="A46" s="57" t="s">
        <v>1836</v>
      </c>
      <c r="B46" s="112" t="s">
        <v>164</v>
      </c>
      <c r="C46" s="42" t="s">
        <v>1837</v>
      </c>
      <c r="D46" s="100" t="s">
        <v>1838</v>
      </c>
    </row>
    <row r="47" spans="1:4" ht="23.25" x14ac:dyDescent="0.45">
      <c r="A47" s="57" t="s">
        <v>1839</v>
      </c>
      <c r="B47" s="111" t="s">
        <v>1778</v>
      </c>
      <c r="C47" s="48" t="s">
        <v>1840</v>
      </c>
      <c r="D47" s="102" t="s">
        <v>1841</v>
      </c>
    </row>
    <row r="48" spans="1:4" x14ac:dyDescent="0.45">
      <c r="A48" s="57" t="s">
        <v>1842</v>
      </c>
      <c r="B48" s="105" t="s">
        <v>1727</v>
      </c>
      <c r="C48" s="42" t="s">
        <v>1843</v>
      </c>
      <c r="D48" s="100" t="s">
        <v>1844</v>
      </c>
    </row>
    <row r="49" spans="1:4" x14ac:dyDescent="0.45">
      <c r="A49" s="57" t="s">
        <v>462</v>
      </c>
      <c r="B49" s="101" t="s">
        <v>1713</v>
      </c>
      <c r="C49" s="48" t="s">
        <v>1845</v>
      </c>
      <c r="D49" s="102" t="s">
        <v>1846</v>
      </c>
    </row>
    <row r="50" spans="1:4" ht="23.25" x14ac:dyDescent="0.45">
      <c r="A50" s="57" t="s">
        <v>1847</v>
      </c>
      <c r="B50" s="99" t="s">
        <v>1713</v>
      </c>
      <c r="C50" s="42" t="s">
        <v>1848</v>
      </c>
      <c r="D50" s="100" t="s">
        <v>1849</v>
      </c>
    </row>
    <row r="51" spans="1:4" x14ac:dyDescent="0.45">
      <c r="A51" s="57" t="s">
        <v>1850</v>
      </c>
      <c r="B51" s="101" t="s">
        <v>1713</v>
      </c>
      <c r="C51" s="48" t="s">
        <v>1851</v>
      </c>
      <c r="D51" s="102" t="s">
        <v>1852</v>
      </c>
    </row>
    <row r="52" spans="1:4" ht="23.25" x14ac:dyDescent="0.45">
      <c r="A52" s="57" t="s">
        <v>1853</v>
      </c>
      <c r="B52" s="108" t="s">
        <v>1741</v>
      </c>
      <c r="C52" s="42" t="s">
        <v>1854</v>
      </c>
      <c r="D52" s="100" t="s">
        <v>1855</v>
      </c>
    </row>
    <row r="53" spans="1:4" x14ac:dyDescent="0.45">
      <c r="A53" s="57" t="s">
        <v>1856</v>
      </c>
      <c r="B53" s="107" t="s">
        <v>1857</v>
      </c>
      <c r="C53" s="48" t="s">
        <v>1858</v>
      </c>
      <c r="D53" s="102" t="s">
        <v>1859</v>
      </c>
    </row>
    <row r="54" spans="1:4" x14ac:dyDescent="0.45">
      <c r="A54" s="57" t="s">
        <v>1860</v>
      </c>
      <c r="B54" s="106" t="s">
        <v>1857</v>
      </c>
      <c r="C54" s="42" t="s">
        <v>1861</v>
      </c>
      <c r="D54" s="100" t="s">
        <v>1862</v>
      </c>
    </row>
    <row r="55" spans="1:4" x14ac:dyDescent="0.45">
      <c r="A55" s="57" t="s">
        <v>1863</v>
      </c>
      <c r="B55" s="110" t="s">
        <v>1727</v>
      </c>
      <c r="C55" s="48" t="s">
        <v>1864</v>
      </c>
      <c r="D55" s="102" t="s">
        <v>1865</v>
      </c>
    </row>
    <row r="56" spans="1:4" ht="23.25" x14ac:dyDescent="0.45">
      <c r="A56" s="57" t="s">
        <v>1866</v>
      </c>
      <c r="B56" s="108" t="s">
        <v>1741</v>
      </c>
      <c r="C56" s="42" t="s">
        <v>1867</v>
      </c>
      <c r="D56" s="100" t="s">
        <v>1868</v>
      </c>
    </row>
    <row r="57" spans="1:4" x14ac:dyDescent="0.45">
      <c r="A57" s="57" t="s">
        <v>1869</v>
      </c>
      <c r="B57" s="101" t="s">
        <v>1713</v>
      </c>
      <c r="C57" s="48" t="s">
        <v>1870</v>
      </c>
      <c r="D57" s="102" t="s">
        <v>1871</v>
      </c>
    </row>
    <row r="58" spans="1:4" x14ac:dyDescent="0.45">
      <c r="A58" s="57" t="s">
        <v>1872</v>
      </c>
      <c r="B58" s="99" t="s">
        <v>1713</v>
      </c>
      <c r="C58" s="42" t="s">
        <v>1873</v>
      </c>
      <c r="D58" s="100" t="s">
        <v>1874</v>
      </c>
    </row>
    <row r="59" spans="1:4" ht="23.25" x14ac:dyDescent="0.45">
      <c r="A59" s="57" t="s">
        <v>1875</v>
      </c>
      <c r="B59" s="101" t="s">
        <v>1713</v>
      </c>
      <c r="C59" s="48" t="s">
        <v>1876</v>
      </c>
      <c r="D59" s="102" t="s">
        <v>1877</v>
      </c>
    </row>
    <row r="60" spans="1:4" ht="23.25" x14ac:dyDescent="0.45">
      <c r="A60" s="57" t="s">
        <v>1878</v>
      </c>
      <c r="B60" s="108" t="s">
        <v>1741</v>
      </c>
      <c r="C60" s="42" t="s">
        <v>1879</v>
      </c>
      <c r="D60" s="100" t="s">
        <v>1880</v>
      </c>
    </row>
    <row r="61" spans="1:4" ht="23.25" x14ac:dyDescent="0.45">
      <c r="A61" s="57" t="s">
        <v>1881</v>
      </c>
      <c r="B61" s="101" t="s">
        <v>1713</v>
      </c>
      <c r="C61" s="48" t="s">
        <v>1882</v>
      </c>
      <c r="D61" s="102" t="s">
        <v>1883</v>
      </c>
    </row>
    <row r="62" spans="1:4" ht="23.25" x14ac:dyDescent="0.45">
      <c r="A62" s="57" t="s">
        <v>1884</v>
      </c>
      <c r="B62" s="103" t="s">
        <v>1778</v>
      </c>
      <c r="C62" s="42" t="s">
        <v>1885</v>
      </c>
      <c r="D62" s="100" t="s">
        <v>1886</v>
      </c>
    </row>
    <row r="63" spans="1:4" x14ac:dyDescent="0.45">
      <c r="A63" s="57" t="s">
        <v>1887</v>
      </c>
      <c r="B63" s="101" t="s">
        <v>1713</v>
      </c>
      <c r="C63" s="48" t="s">
        <v>1888</v>
      </c>
      <c r="D63" s="102" t="s">
        <v>1889</v>
      </c>
    </row>
    <row r="64" spans="1:4" x14ac:dyDescent="0.45">
      <c r="A64" s="57" t="s">
        <v>1890</v>
      </c>
      <c r="B64" s="105" t="s">
        <v>1727</v>
      </c>
      <c r="C64" s="42" t="s">
        <v>1891</v>
      </c>
      <c r="D64" s="100" t="s">
        <v>1892</v>
      </c>
    </row>
    <row r="65" spans="1:4" ht="23.25" x14ac:dyDescent="0.45">
      <c r="A65" s="57" t="s">
        <v>1893</v>
      </c>
      <c r="B65" s="101" t="s">
        <v>1713</v>
      </c>
      <c r="C65" s="48" t="s">
        <v>1894</v>
      </c>
      <c r="D65" s="102" t="s">
        <v>1895</v>
      </c>
    </row>
    <row r="66" spans="1:4" x14ac:dyDescent="0.45">
      <c r="A66" s="57" t="s">
        <v>1896</v>
      </c>
      <c r="B66" s="106" t="s">
        <v>1734</v>
      </c>
      <c r="C66" s="42" t="s">
        <v>1897</v>
      </c>
      <c r="D66" s="100" t="s">
        <v>1898</v>
      </c>
    </row>
    <row r="67" spans="1:4" ht="23.25" x14ac:dyDescent="0.45">
      <c r="A67" s="57" t="s">
        <v>1899</v>
      </c>
      <c r="B67" s="107" t="s">
        <v>1734</v>
      </c>
      <c r="C67" s="48" t="s">
        <v>1900</v>
      </c>
      <c r="D67" s="102" t="s">
        <v>1901</v>
      </c>
    </row>
    <row r="68" spans="1:4" x14ac:dyDescent="0.45">
      <c r="A68" s="57" t="s">
        <v>1902</v>
      </c>
      <c r="B68" s="106" t="s">
        <v>1734</v>
      </c>
      <c r="C68" s="42" t="s">
        <v>1903</v>
      </c>
      <c r="D68" s="100" t="s">
        <v>1904</v>
      </c>
    </row>
    <row r="69" spans="1:4" ht="23.25" x14ac:dyDescent="0.45">
      <c r="A69" s="57" t="s">
        <v>1905</v>
      </c>
      <c r="B69" s="104" t="s">
        <v>164</v>
      </c>
      <c r="C69" s="48" t="s">
        <v>1906</v>
      </c>
      <c r="D69" s="102" t="s">
        <v>1907</v>
      </c>
    </row>
    <row r="70" spans="1:4" x14ac:dyDescent="0.45">
      <c r="A70" s="57" t="s">
        <v>1908</v>
      </c>
      <c r="B70" s="106" t="s">
        <v>1734</v>
      </c>
      <c r="C70" s="42" t="s">
        <v>1909</v>
      </c>
      <c r="D70" s="100" t="s">
        <v>1910</v>
      </c>
    </row>
    <row r="71" spans="1:4" x14ac:dyDescent="0.45">
      <c r="A71" s="57" t="s">
        <v>1911</v>
      </c>
      <c r="B71" s="107" t="s">
        <v>1734</v>
      </c>
      <c r="C71" s="48" t="s">
        <v>1912</v>
      </c>
      <c r="D71" s="102" t="s">
        <v>1913</v>
      </c>
    </row>
    <row r="72" spans="1:4" x14ac:dyDescent="0.45">
      <c r="A72" s="57" t="s">
        <v>1914</v>
      </c>
      <c r="B72" s="106" t="s">
        <v>1734</v>
      </c>
      <c r="C72" s="42" t="s">
        <v>608</v>
      </c>
      <c r="D72" s="100" t="s">
        <v>1915</v>
      </c>
    </row>
    <row r="73" spans="1:4" x14ac:dyDescent="0.45">
      <c r="A73" s="57" t="s">
        <v>1916</v>
      </c>
      <c r="B73" s="101" t="s">
        <v>1713</v>
      </c>
      <c r="C73" s="48" t="s">
        <v>1917</v>
      </c>
      <c r="D73" s="102" t="s">
        <v>1918</v>
      </c>
    </row>
    <row r="74" spans="1:4" x14ac:dyDescent="0.45">
      <c r="A74" s="57" t="s">
        <v>1919</v>
      </c>
      <c r="B74" s="99" t="s">
        <v>1713</v>
      </c>
      <c r="C74" s="42" t="s">
        <v>1920</v>
      </c>
      <c r="D74" s="100" t="s">
        <v>1921</v>
      </c>
    </row>
    <row r="75" spans="1:4" ht="23.25" x14ac:dyDescent="0.45">
      <c r="A75" s="57" t="s">
        <v>1922</v>
      </c>
      <c r="B75" s="101" t="s">
        <v>1713</v>
      </c>
      <c r="C75" s="48" t="s">
        <v>1923</v>
      </c>
      <c r="D75" s="102" t="s">
        <v>1924</v>
      </c>
    </row>
    <row r="76" spans="1:4" x14ac:dyDescent="0.45">
      <c r="A76" s="57" t="s">
        <v>1925</v>
      </c>
      <c r="B76" s="99" t="s">
        <v>1713</v>
      </c>
      <c r="C76" s="42" t="s">
        <v>1926</v>
      </c>
      <c r="D76" s="100" t="s">
        <v>1927</v>
      </c>
    </row>
    <row r="77" spans="1:4" ht="23.25" x14ac:dyDescent="0.45">
      <c r="A77" s="57" t="s">
        <v>1928</v>
      </c>
      <c r="B77" s="109" t="s">
        <v>1741</v>
      </c>
      <c r="C77" s="48" t="s">
        <v>1929</v>
      </c>
      <c r="D77" s="102" t="s">
        <v>1930</v>
      </c>
    </row>
    <row r="78" spans="1:4" x14ac:dyDescent="0.45">
      <c r="A78" s="57" t="s">
        <v>1931</v>
      </c>
      <c r="B78" s="106" t="s">
        <v>1857</v>
      </c>
      <c r="C78" s="42" t="s">
        <v>1932</v>
      </c>
      <c r="D78" s="100" t="s">
        <v>1933</v>
      </c>
    </row>
    <row r="79" spans="1:4" ht="23.25" x14ac:dyDescent="0.45">
      <c r="A79" s="57" t="s">
        <v>1934</v>
      </c>
      <c r="B79" s="107" t="s">
        <v>1857</v>
      </c>
      <c r="C79" s="48" t="s">
        <v>1935</v>
      </c>
      <c r="D79" s="102" t="s">
        <v>1936</v>
      </c>
    </row>
    <row r="80" spans="1:4" ht="23.25" x14ac:dyDescent="0.45">
      <c r="A80" s="57" t="s">
        <v>1937</v>
      </c>
      <c r="B80" s="105" t="s">
        <v>1727</v>
      </c>
      <c r="C80" s="42" t="s">
        <v>1938</v>
      </c>
      <c r="D80" s="100" t="s">
        <v>1939</v>
      </c>
    </row>
    <row r="81" spans="1:4" ht="23.25" x14ac:dyDescent="0.45">
      <c r="A81" s="57" t="s">
        <v>1940</v>
      </c>
      <c r="B81" s="107" t="s">
        <v>1857</v>
      </c>
      <c r="C81" s="48" t="s">
        <v>1941</v>
      </c>
      <c r="D81" s="102" t="s">
        <v>1942</v>
      </c>
    </row>
    <row r="82" spans="1:4" x14ac:dyDescent="0.45">
      <c r="A82" s="57" t="s">
        <v>1943</v>
      </c>
      <c r="B82" s="103" t="s">
        <v>1778</v>
      </c>
      <c r="C82" s="42" t="s">
        <v>1944</v>
      </c>
      <c r="D82" s="100" t="s">
        <v>1945</v>
      </c>
    </row>
    <row r="83" spans="1:4" x14ac:dyDescent="0.45">
      <c r="A83" s="57" t="s">
        <v>706</v>
      </c>
      <c r="B83" s="101" t="s">
        <v>643</v>
      </c>
      <c r="C83" s="48" t="s">
        <v>1946</v>
      </c>
      <c r="D83" s="102" t="s">
        <v>1947</v>
      </c>
    </row>
    <row r="84" spans="1:4" ht="23.25" x14ac:dyDescent="0.45">
      <c r="A84" s="57" t="s">
        <v>1948</v>
      </c>
      <c r="B84" s="99" t="s">
        <v>1713</v>
      </c>
      <c r="C84" s="42" t="s">
        <v>1949</v>
      </c>
      <c r="D84" s="100" t="s">
        <v>1950</v>
      </c>
    </row>
    <row r="85" spans="1:4" ht="23.25" x14ac:dyDescent="0.45">
      <c r="A85" s="57" t="s">
        <v>1951</v>
      </c>
      <c r="B85" s="111" t="s">
        <v>1719</v>
      </c>
      <c r="C85" s="48" t="s">
        <v>1952</v>
      </c>
      <c r="D85" s="102" t="s">
        <v>1953</v>
      </c>
    </row>
    <row r="86" spans="1:4" x14ac:dyDescent="0.45">
      <c r="A86" s="57" t="s">
        <v>1954</v>
      </c>
      <c r="B86" s="99" t="s">
        <v>1713</v>
      </c>
      <c r="C86" s="42" t="s">
        <v>1955</v>
      </c>
      <c r="D86" s="100" t="s">
        <v>1956</v>
      </c>
    </row>
    <row r="87" spans="1:4" x14ac:dyDescent="0.45">
      <c r="A87" s="57" t="s">
        <v>1957</v>
      </c>
      <c r="B87" s="111" t="s">
        <v>1778</v>
      </c>
      <c r="C87" s="48" t="s">
        <v>1958</v>
      </c>
      <c r="D87" s="102" t="s">
        <v>1959</v>
      </c>
    </row>
    <row r="88" spans="1:4" ht="23.25" x14ac:dyDescent="0.45">
      <c r="A88" s="57" t="s">
        <v>1960</v>
      </c>
      <c r="B88" s="112" t="s">
        <v>1723</v>
      </c>
      <c r="C88" s="42" t="s">
        <v>1961</v>
      </c>
      <c r="D88" s="100" t="s">
        <v>1962</v>
      </c>
    </row>
    <row r="89" spans="1:4" ht="23.25" x14ac:dyDescent="0.45">
      <c r="A89" s="57" t="s">
        <v>1963</v>
      </c>
      <c r="B89" s="104" t="s">
        <v>164</v>
      </c>
      <c r="C89" s="48" t="s">
        <v>1964</v>
      </c>
      <c r="D89" s="102" t="s">
        <v>1965</v>
      </c>
    </row>
    <row r="90" spans="1:4" x14ac:dyDescent="0.45">
      <c r="A90" s="57" t="s">
        <v>728</v>
      </c>
      <c r="B90" s="99" t="s">
        <v>643</v>
      </c>
      <c r="C90" s="42" t="s">
        <v>1966</v>
      </c>
      <c r="D90" s="100" t="s">
        <v>1967</v>
      </c>
    </row>
    <row r="91" spans="1:4" ht="23.25" x14ac:dyDescent="0.45">
      <c r="A91" s="57" t="s">
        <v>1968</v>
      </c>
      <c r="B91" s="111" t="s">
        <v>1778</v>
      </c>
      <c r="C91" s="48" t="s">
        <v>1969</v>
      </c>
      <c r="D91" s="102" t="s">
        <v>1970</v>
      </c>
    </row>
    <row r="92" spans="1:4" x14ac:dyDescent="0.45">
      <c r="A92" s="57" t="s">
        <v>1971</v>
      </c>
      <c r="B92" s="108" t="s">
        <v>1741</v>
      </c>
      <c r="C92" s="42" t="s">
        <v>1972</v>
      </c>
      <c r="D92" s="100" t="s">
        <v>1973</v>
      </c>
    </row>
    <row r="93" spans="1:4" ht="23.25" x14ac:dyDescent="0.45">
      <c r="A93" s="57" t="s">
        <v>1974</v>
      </c>
      <c r="B93" s="107" t="s">
        <v>1734</v>
      </c>
      <c r="C93" s="48" t="s">
        <v>1975</v>
      </c>
      <c r="D93" s="102" t="s">
        <v>1976</v>
      </c>
    </row>
    <row r="94" spans="1:4" ht="23.25" x14ac:dyDescent="0.45">
      <c r="A94" s="57" t="s">
        <v>1977</v>
      </c>
      <c r="B94" s="103" t="s">
        <v>1778</v>
      </c>
      <c r="C94" s="42" t="s">
        <v>1978</v>
      </c>
      <c r="D94" s="100" t="s">
        <v>1979</v>
      </c>
    </row>
    <row r="95" spans="1:4" x14ac:dyDescent="0.45">
      <c r="A95" s="57" t="s">
        <v>1980</v>
      </c>
      <c r="B95" s="101" t="s">
        <v>643</v>
      </c>
      <c r="C95" s="48" t="s">
        <v>1981</v>
      </c>
      <c r="D95" s="102" t="s">
        <v>1982</v>
      </c>
    </row>
    <row r="96" spans="1:4" ht="23.25" x14ac:dyDescent="0.45">
      <c r="A96" s="57" t="s">
        <v>1983</v>
      </c>
      <c r="B96" s="112" t="s">
        <v>1723</v>
      </c>
      <c r="C96" s="42" t="s">
        <v>1984</v>
      </c>
      <c r="D96" s="100" t="s">
        <v>1985</v>
      </c>
    </row>
    <row r="97" spans="1:4" ht="23.25" x14ac:dyDescent="0.45">
      <c r="A97" s="57" t="s">
        <v>1986</v>
      </c>
      <c r="B97" s="110" t="s">
        <v>1727</v>
      </c>
      <c r="C97" s="48" t="s">
        <v>1987</v>
      </c>
      <c r="D97" s="102" t="s">
        <v>1988</v>
      </c>
    </row>
    <row r="98" spans="1:4" x14ac:dyDescent="0.45">
      <c r="A98" s="57" t="s">
        <v>1989</v>
      </c>
      <c r="B98" s="108" t="s">
        <v>1741</v>
      </c>
      <c r="C98" s="42" t="s">
        <v>1990</v>
      </c>
      <c r="D98" s="100" t="s">
        <v>1991</v>
      </c>
    </row>
    <row r="99" spans="1:4" x14ac:dyDescent="0.45">
      <c r="A99" s="57" t="s">
        <v>1992</v>
      </c>
      <c r="B99" s="107" t="s">
        <v>1734</v>
      </c>
      <c r="C99" s="48" t="s">
        <v>1993</v>
      </c>
      <c r="D99" s="102" t="s">
        <v>1994</v>
      </c>
    </row>
    <row r="100" spans="1:4" ht="23.25" x14ac:dyDescent="0.45">
      <c r="A100" s="57" t="s">
        <v>1995</v>
      </c>
      <c r="B100" s="108" t="s">
        <v>1741</v>
      </c>
      <c r="C100" s="42" t="s">
        <v>1996</v>
      </c>
      <c r="D100" s="100" t="s">
        <v>1997</v>
      </c>
    </row>
    <row r="101" spans="1:4" x14ac:dyDescent="0.45">
      <c r="A101" s="57" t="s">
        <v>1998</v>
      </c>
      <c r="B101" s="101" t="s">
        <v>1713</v>
      </c>
      <c r="C101" s="48" t="s">
        <v>1999</v>
      </c>
      <c r="D101" s="102" t="s">
        <v>2000</v>
      </c>
    </row>
    <row r="102" spans="1:4" x14ac:dyDescent="0.45">
      <c r="A102" s="57" t="s">
        <v>2001</v>
      </c>
      <c r="B102" s="105" t="s">
        <v>1727</v>
      </c>
      <c r="C102" s="42" t="s">
        <v>2002</v>
      </c>
      <c r="D102" s="100" t="s">
        <v>2003</v>
      </c>
    </row>
    <row r="103" spans="1:4" ht="23.25" x14ac:dyDescent="0.45">
      <c r="A103" s="57" t="s">
        <v>1494</v>
      </c>
      <c r="B103" s="109" t="s">
        <v>1816</v>
      </c>
      <c r="C103" s="48" t="s">
        <v>2004</v>
      </c>
      <c r="D103" s="102" t="s">
        <v>2005</v>
      </c>
    </row>
    <row r="104" spans="1:4" ht="23.25" x14ac:dyDescent="0.45">
      <c r="A104" s="57" t="s">
        <v>2006</v>
      </c>
      <c r="B104" s="105" t="s">
        <v>1727</v>
      </c>
      <c r="C104" s="42" t="s">
        <v>2007</v>
      </c>
      <c r="D104" s="100" t="s">
        <v>2008</v>
      </c>
    </row>
    <row r="105" spans="1:4" ht="23.25" x14ac:dyDescent="0.45">
      <c r="A105" s="57" t="s">
        <v>2009</v>
      </c>
      <c r="B105" s="101" t="s">
        <v>1713</v>
      </c>
      <c r="C105" s="48" t="s">
        <v>2010</v>
      </c>
      <c r="D105" s="102" t="s">
        <v>2011</v>
      </c>
    </row>
    <row r="106" spans="1:4" x14ac:dyDescent="0.45">
      <c r="A106" s="57" t="s">
        <v>2012</v>
      </c>
      <c r="B106" s="99" t="s">
        <v>1713</v>
      </c>
      <c r="C106" s="42" t="s">
        <v>2013</v>
      </c>
      <c r="D106" s="100" t="s">
        <v>2014</v>
      </c>
    </row>
    <row r="107" spans="1:4" ht="23.25" x14ac:dyDescent="0.45">
      <c r="A107" s="57" t="s">
        <v>2015</v>
      </c>
      <c r="B107" s="110" t="s">
        <v>1727</v>
      </c>
      <c r="C107" s="48" t="s">
        <v>2016</v>
      </c>
      <c r="D107" s="102" t="s">
        <v>2017</v>
      </c>
    </row>
    <row r="108" spans="1:4" ht="23.25" x14ac:dyDescent="0.45">
      <c r="A108" s="57" t="s">
        <v>2018</v>
      </c>
      <c r="B108" s="105" t="s">
        <v>1727</v>
      </c>
      <c r="C108" s="42" t="s">
        <v>2019</v>
      </c>
      <c r="D108" s="100" t="s">
        <v>2020</v>
      </c>
    </row>
    <row r="109" spans="1:4" ht="23.25" x14ac:dyDescent="0.45">
      <c r="A109" s="57" t="s">
        <v>2021</v>
      </c>
      <c r="B109" s="110" t="s">
        <v>1727</v>
      </c>
      <c r="C109" s="48" t="s">
        <v>2022</v>
      </c>
      <c r="D109" s="102" t="s">
        <v>2023</v>
      </c>
    </row>
    <row r="110" spans="1:4" ht="23.25" x14ac:dyDescent="0.45">
      <c r="A110" s="57" t="s">
        <v>2024</v>
      </c>
      <c r="B110" s="105" t="s">
        <v>1727</v>
      </c>
      <c r="C110" s="42" t="s">
        <v>2025</v>
      </c>
      <c r="D110" s="100" t="s">
        <v>2026</v>
      </c>
    </row>
    <row r="111" spans="1:4" ht="23.25" x14ac:dyDescent="0.45">
      <c r="A111" s="57" t="s">
        <v>2027</v>
      </c>
      <c r="B111" s="107" t="s">
        <v>1734</v>
      </c>
      <c r="C111" s="48" t="s">
        <v>2028</v>
      </c>
      <c r="D111" s="102" t="s">
        <v>2029</v>
      </c>
    </row>
    <row r="112" spans="1:4" ht="23.25" x14ac:dyDescent="0.45">
      <c r="A112" s="57" t="s">
        <v>2030</v>
      </c>
      <c r="B112" s="108" t="s">
        <v>1741</v>
      </c>
      <c r="C112" s="42" t="s">
        <v>2031</v>
      </c>
      <c r="D112" s="100" t="s">
        <v>2032</v>
      </c>
    </row>
    <row r="113" spans="1:4" ht="23.25" x14ac:dyDescent="0.45">
      <c r="A113" s="57" t="s">
        <v>2033</v>
      </c>
      <c r="B113" s="109" t="s">
        <v>1741</v>
      </c>
      <c r="C113" s="48" t="s">
        <v>2034</v>
      </c>
      <c r="D113" s="102" t="s">
        <v>2035</v>
      </c>
    </row>
    <row r="114" spans="1:4" ht="23.25" x14ac:dyDescent="0.45">
      <c r="A114" s="57" t="s">
        <v>2036</v>
      </c>
      <c r="B114" s="112" t="s">
        <v>1799</v>
      </c>
      <c r="C114" s="42" t="s">
        <v>2037</v>
      </c>
      <c r="D114" s="100" t="s">
        <v>2038</v>
      </c>
    </row>
    <row r="115" spans="1:4" x14ac:dyDescent="0.45">
      <c r="A115" s="57" t="s">
        <v>2039</v>
      </c>
      <c r="B115" s="101" t="s">
        <v>1713</v>
      </c>
      <c r="C115" s="48" t="s">
        <v>2040</v>
      </c>
      <c r="D115" s="102" t="s">
        <v>2041</v>
      </c>
    </row>
    <row r="117" spans="1:4" ht="27.75" customHeight="1" x14ac:dyDescent="0.45">
      <c r="A117" s="128" t="s">
        <v>2042</v>
      </c>
      <c r="B117" s="128"/>
      <c r="C117" s="128"/>
      <c r="D117" s="128"/>
    </row>
  </sheetData>
  <autoFilter ref="A5:D115" xr:uid="{00000000-0009-0000-0000-000018000000}"/>
  <mergeCells count="4">
    <mergeCell ref="A1:D1"/>
    <mergeCell ref="A2:D2"/>
    <mergeCell ref="A3:D3"/>
    <mergeCell ref="A117:D117"/>
  </mergeCells>
  <printOptions horizontalCentered="1"/>
  <pageMargins left="0.75" right="0.75" top="1" bottom="1" header="0.511811023622047" footer="0.511811023622047"/>
  <pageSetup fitToHeight="0" orientation="landscape"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5B6B83"/>
  </sheetPr>
  <dimension ref="A1:F35"/>
  <sheetViews>
    <sheetView showGridLines="0" zoomScaleNormal="100" workbookViewId="0"/>
  </sheetViews>
  <sheetFormatPr defaultColWidth="8.6640625" defaultRowHeight="14.25" x14ac:dyDescent="0.45"/>
  <cols>
    <col min="1" max="1" width="3" customWidth="1"/>
    <col min="2" max="2" width="30" customWidth="1"/>
    <col min="3" max="3" width="3" customWidth="1"/>
    <col min="4" max="4" width="28" customWidth="1"/>
    <col min="5" max="5" width="3" customWidth="1"/>
    <col min="6" max="6" width="30" customWidth="1"/>
  </cols>
  <sheetData>
    <row r="1" spans="1:6" ht="30" customHeight="1" x14ac:dyDescent="0.45">
      <c r="A1" s="122" t="s">
        <v>2043</v>
      </c>
      <c r="B1" s="122"/>
      <c r="C1" s="122"/>
      <c r="D1" s="122"/>
      <c r="E1" s="122"/>
      <c r="F1" s="122"/>
    </row>
    <row r="2" spans="1:6" ht="18" customHeight="1" x14ac:dyDescent="0.45">
      <c r="A2" s="123" t="s">
        <v>2044</v>
      </c>
      <c r="B2" s="123"/>
      <c r="C2" s="123"/>
      <c r="D2" s="123"/>
      <c r="E2" s="123"/>
      <c r="F2" s="123"/>
    </row>
    <row r="3" spans="1:6" ht="21.75" customHeight="1" x14ac:dyDescent="0.45">
      <c r="A3" s="124" t="s">
        <v>2045</v>
      </c>
      <c r="B3" s="124"/>
      <c r="C3" s="124"/>
      <c r="D3" s="124"/>
      <c r="E3" s="124"/>
      <c r="F3" s="124"/>
    </row>
    <row r="5" spans="1:6" x14ac:dyDescent="0.45">
      <c r="B5" s="113" t="s">
        <v>2046</v>
      </c>
      <c r="D5" s="113" t="s">
        <v>2047</v>
      </c>
      <c r="F5" s="113" t="s">
        <v>2048</v>
      </c>
    </row>
    <row r="6" spans="1:6" ht="15" customHeight="1" x14ac:dyDescent="0.45">
      <c r="B6" s="114" t="s">
        <v>356</v>
      </c>
      <c r="D6" s="115" t="s">
        <v>827</v>
      </c>
      <c r="F6" s="129" t="s">
        <v>2049</v>
      </c>
    </row>
    <row r="7" spans="1:6" x14ac:dyDescent="0.45">
      <c r="B7" s="114" t="s">
        <v>2050</v>
      </c>
      <c r="D7" s="115" t="s">
        <v>2051</v>
      </c>
      <c r="F7" s="129"/>
    </row>
    <row r="8" spans="1:6" x14ac:dyDescent="0.45">
      <c r="B8" s="114" t="s">
        <v>2052</v>
      </c>
      <c r="D8" s="115" t="s">
        <v>2053</v>
      </c>
      <c r="F8" s="129"/>
    </row>
    <row r="9" spans="1:6" x14ac:dyDescent="0.45">
      <c r="B9" s="114" t="s">
        <v>1380</v>
      </c>
      <c r="D9" s="115" t="s">
        <v>2054</v>
      </c>
      <c r="F9" s="129"/>
    </row>
    <row r="10" spans="1:6" x14ac:dyDescent="0.45">
      <c r="B10" s="114" t="s">
        <v>2055</v>
      </c>
      <c r="F10" s="129"/>
    </row>
    <row r="11" spans="1:6" x14ac:dyDescent="0.45">
      <c r="B11" s="114" t="s">
        <v>2056</v>
      </c>
      <c r="F11" s="129"/>
    </row>
    <row r="12" spans="1:6" x14ac:dyDescent="0.45">
      <c r="B12" s="114" t="s">
        <v>459</v>
      </c>
      <c r="D12" s="113" t="s">
        <v>2057</v>
      </c>
      <c r="F12" s="129"/>
    </row>
    <row r="13" spans="1:6" x14ac:dyDescent="0.45">
      <c r="B13" s="114" t="s">
        <v>153</v>
      </c>
      <c r="D13" s="116" t="s">
        <v>156</v>
      </c>
      <c r="F13" s="129"/>
    </row>
    <row r="14" spans="1:6" x14ac:dyDescent="0.45">
      <c r="B14" s="114" t="s">
        <v>392</v>
      </c>
      <c r="D14" s="116" t="s">
        <v>2058</v>
      </c>
      <c r="F14" s="129"/>
    </row>
    <row r="15" spans="1:6" x14ac:dyDescent="0.45">
      <c r="B15" s="114" t="s">
        <v>1551</v>
      </c>
      <c r="D15" s="116" t="s">
        <v>809</v>
      </c>
    </row>
    <row r="16" spans="1:6" x14ac:dyDescent="0.45">
      <c r="B16" s="114" t="s">
        <v>483</v>
      </c>
      <c r="D16" s="116" t="s">
        <v>2059</v>
      </c>
    </row>
    <row r="17" spans="2:4" x14ac:dyDescent="0.45">
      <c r="B17" s="114" t="s">
        <v>527</v>
      </c>
      <c r="D17" s="116" t="s">
        <v>787</v>
      </c>
    </row>
    <row r="18" spans="2:4" x14ac:dyDescent="0.45">
      <c r="B18" s="117"/>
      <c r="D18" s="116" t="s">
        <v>2060</v>
      </c>
    </row>
    <row r="19" spans="2:4" x14ac:dyDescent="0.45">
      <c r="B19" s="117"/>
      <c r="D19" s="116" t="s">
        <v>2061</v>
      </c>
    </row>
    <row r="20" spans="2:4" x14ac:dyDescent="0.45">
      <c r="B20" s="117"/>
      <c r="D20" s="116" t="s">
        <v>2062</v>
      </c>
    </row>
    <row r="21" spans="2:4" x14ac:dyDescent="0.45">
      <c r="B21" s="117"/>
      <c r="D21" s="116" t="s">
        <v>2063</v>
      </c>
    </row>
    <row r="22" spans="2:4" x14ac:dyDescent="0.45">
      <c r="B22" s="117"/>
    </row>
    <row r="23" spans="2:4" x14ac:dyDescent="0.45">
      <c r="B23" s="117"/>
    </row>
    <row r="24" spans="2:4" x14ac:dyDescent="0.45">
      <c r="B24" s="117"/>
    </row>
    <row r="25" spans="2:4" x14ac:dyDescent="0.45">
      <c r="B25" s="117"/>
    </row>
    <row r="26" spans="2:4" x14ac:dyDescent="0.45">
      <c r="B26" s="117"/>
    </row>
    <row r="27" spans="2:4" x14ac:dyDescent="0.45">
      <c r="B27" s="117"/>
    </row>
    <row r="28" spans="2:4" x14ac:dyDescent="0.45">
      <c r="B28" s="117"/>
    </row>
    <row r="29" spans="2:4" x14ac:dyDescent="0.45">
      <c r="B29" s="117"/>
    </row>
    <row r="30" spans="2:4" x14ac:dyDescent="0.45">
      <c r="B30" s="117"/>
    </row>
    <row r="31" spans="2:4" x14ac:dyDescent="0.45">
      <c r="B31" s="117"/>
    </row>
    <row r="32" spans="2:4" x14ac:dyDescent="0.45">
      <c r="B32" s="117"/>
    </row>
    <row r="33" spans="2:2" x14ac:dyDescent="0.45">
      <c r="B33" s="117"/>
    </row>
    <row r="34" spans="2:2" x14ac:dyDescent="0.45">
      <c r="B34" s="117"/>
    </row>
    <row r="35" spans="2:2" x14ac:dyDescent="0.45">
      <c r="B35" s="117"/>
    </row>
  </sheetData>
  <mergeCells count="4">
    <mergeCell ref="A1:F1"/>
    <mergeCell ref="A2:F2"/>
    <mergeCell ref="A3:F3"/>
    <mergeCell ref="F6:F14"/>
  </mergeCells>
  <pageMargins left="0.75" right="0.75" top="1" bottom="1" header="0.511811023622047" footer="0.511811023622047"/>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5B6B83"/>
    <pageSetUpPr fitToPage="1"/>
  </sheetPr>
  <dimension ref="A1:E25"/>
  <sheetViews>
    <sheetView showGridLines="0" zoomScaleNormal="100" workbookViewId="0"/>
  </sheetViews>
  <sheetFormatPr defaultColWidth="8.6640625" defaultRowHeight="14.25" x14ac:dyDescent="0.45"/>
  <cols>
    <col min="1" max="1" width="12" customWidth="1"/>
    <col min="2" max="2" width="14" customWidth="1"/>
    <col min="3" max="3" width="24" customWidth="1"/>
    <col min="4" max="4" width="60" customWidth="1"/>
    <col min="5" max="5" width="16" customWidth="1"/>
  </cols>
  <sheetData>
    <row r="1" spans="1:5" ht="30" customHeight="1" x14ac:dyDescent="0.45">
      <c r="A1" s="122" t="s">
        <v>2064</v>
      </c>
      <c r="B1" s="122"/>
      <c r="C1" s="122"/>
      <c r="D1" s="122"/>
      <c r="E1" s="122"/>
    </row>
    <row r="2" spans="1:5" ht="18" customHeight="1" x14ac:dyDescent="0.45">
      <c r="A2" s="123" t="s">
        <v>2065</v>
      </c>
      <c r="B2" s="123"/>
      <c r="C2" s="123"/>
      <c r="D2" s="123"/>
      <c r="E2" s="123"/>
    </row>
    <row r="3" spans="1:5" ht="21.75" customHeight="1" x14ac:dyDescent="0.45">
      <c r="A3" s="124" t="s">
        <v>2066</v>
      </c>
      <c r="B3" s="124"/>
      <c r="C3" s="124"/>
      <c r="D3" s="124"/>
      <c r="E3" s="124"/>
    </row>
    <row r="5" spans="1:5" ht="30" customHeight="1" x14ac:dyDescent="0.45">
      <c r="A5" s="32" t="s">
        <v>1518</v>
      </c>
      <c r="B5" s="32" t="s">
        <v>1397</v>
      </c>
      <c r="C5" s="32" t="s">
        <v>2067</v>
      </c>
      <c r="D5" s="32" t="s">
        <v>2068</v>
      </c>
      <c r="E5" s="32" t="s">
        <v>149</v>
      </c>
    </row>
    <row r="6" spans="1:5" x14ac:dyDescent="0.45">
      <c r="A6" s="87" t="s">
        <v>2069</v>
      </c>
      <c r="B6" s="118" t="s">
        <v>2070</v>
      </c>
      <c r="C6" s="116" t="s">
        <v>2071</v>
      </c>
      <c r="D6" s="116" t="s">
        <v>2072</v>
      </c>
      <c r="E6" s="118" t="s">
        <v>2073</v>
      </c>
    </row>
    <row r="7" spans="1:5" x14ac:dyDescent="0.45">
      <c r="A7" s="119"/>
      <c r="B7" s="120"/>
      <c r="C7" s="119"/>
      <c r="D7" s="119"/>
      <c r="E7" s="120"/>
    </row>
    <row r="8" spans="1:5" x14ac:dyDescent="0.45">
      <c r="A8" s="119"/>
      <c r="B8" s="120"/>
      <c r="C8" s="119"/>
      <c r="D8" s="119"/>
      <c r="E8" s="120"/>
    </row>
    <row r="9" spans="1:5" x14ac:dyDescent="0.45">
      <c r="A9" s="119"/>
      <c r="B9" s="120"/>
      <c r="C9" s="119"/>
      <c r="D9" s="119"/>
      <c r="E9" s="120"/>
    </row>
    <row r="10" spans="1:5" x14ac:dyDescent="0.45">
      <c r="A10" s="119"/>
      <c r="B10" s="120"/>
      <c r="C10" s="119"/>
      <c r="D10" s="119"/>
      <c r="E10" s="120"/>
    </row>
    <row r="11" spans="1:5" x14ac:dyDescent="0.45">
      <c r="A11" s="119"/>
      <c r="B11" s="120"/>
      <c r="C11" s="119"/>
      <c r="D11" s="119"/>
      <c r="E11" s="120"/>
    </row>
    <row r="12" spans="1:5" x14ac:dyDescent="0.45">
      <c r="A12" s="119"/>
      <c r="B12" s="120"/>
      <c r="C12" s="119"/>
      <c r="D12" s="119"/>
      <c r="E12" s="120"/>
    </row>
    <row r="13" spans="1:5" x14ac:dyDescent="0.45">
      <c r="A13" s="119"/>
      <c r="B13" s="120"/>
      <c r="C13" s="119"/>
      <c r="D13" s="119"/>
      <c r="E13" s="120"/>
    </row>
    <row r="14" spans="1:5" x14ac:dyDescent="0.45">
      <c r="A14" s="119"/>
      <c r="B14" s="120"/>
      <c r="C14" s="119"/>
      <c r="D14" s="119"/>
      <c r="E14" s="120"/>
    </row>
    <row r="15" spans="1:5" x14ac:dyDescent="0.45">
      <c r="A15" s="119"/>
      <c r="B15" s="120"/>
      <c r="C15" s="119"/>
      <c r="D15" s="119"/>
      <c r="E15" s="120"/>
    </row>
    <row r="16" spans="1:5" x14ac:dyDescent="0.45">
      <c r="A16" s="119"/>
      <c r="B16" s="120"/>
      <c r="C16" s="119"/>
      <c r="D16" s="119"/>
      <c r="E16" s="120"/>
    </row>
    <row r="17" spans="1:5" x14ac:dyDescent="0.45">
      <c r="A17" s="119"/>
      <c r="B17" s="120"/>
      <c r="C17" s="119"/>
      <c r="D17" s="119"/>
      <c r="E17" s="120"/>
    </row>
    <row r="18" spans="1:5" x14ac:dyDescent="0.45">
      <c r="A18" s="119"/>
      <c r="B18" s="120"/>
      <c r="C18" s="119"/>
      <c r="D18" s="119"/>
      <c r="E18" s="120"/>
    </row>
    <row r="19" spans="1:5" x14ac:dyDescent="0.45">
      <c r="A19" s="119"/>
      <c r="B19" s="120"/>
      <c r="C19" s="119"/>
      <c r="D19" s="119"/>
      <c r="E19" s="120"/>
    </row>
    <row r="20" spans="1:5" x14ac:dyDescent="0.45">
      <c r="A20" s="119"/>
      <c r="B20" s="120"/>
      <c r="C20" s="119"/>
      <c r="D20" s="119"/>
      <c r="E20" s="120"/>
    </row>
    <row r="21" spans="1:5" x14ac:dyDescent="0.45">
      <c r="A21" s="119"/>
      <c r="B21" s="120"/>
      <c r="C21" s="119"/>
      <c r="D21" s="119"/>
      <c r="E21" s="120"/>
    </row>
    <row r="22" spans="1:5" x14ac:dyDescent="0.45">
      <c r="A22" s="119"/>
      <c r="B22" s="120"/>
      <c r="C22" s="119"/>
      <c r="D22" s="119"/>
      <c r="E22" s="120"/>
    </row>
    <row r="23" spans="1:5" x14ac:dyDescent="0.45">
      <c r="A23" s="119"/>
      <c r="B23" s="120"/>
      <c r="C23" s="119"/>
      <c r="D23" s="119"/>
      <c r="E23" s="120"/>
    </row>
    <row r="24" spans="1:5" x14ac:dyDescent="0.45">
      <c r="A24" s="119"/>
      <c r="B24" s="120"/>
      <c r="C24" s="119"/>
      <c r="D24" s="119"/>
      <c r="E24" s="120"/>
    </row>
    <row r="25" spans="1:5" x14ac:dyDescent="0.45">
      <c r="A25" s="119"/>
      <c r="B25" s="120"/>
      <c r="C25" s="119"/>
      <c r="D25" s="119"/>
      <c r="E25" s="120"/>
    </row>
  </sheetData>
  <mergeCells count="3">
    <mergeCell ref="A1:E1"/>
    <mergeCell ref="A2:E2"/>
    <mergeCell ref="A3:E3"/>
  </mergeCells>
  <printOptions horizontalCentered="1"/>
  <pageMargins left="0.75" right="0.75" top="1" bottom="1"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8641C"/>
    <pageSetUpPr fitToPage="1"/>
  </sheetPr>
  <dimension ref="A1:Q65"/>
  <sheetViews>
    <sheetView showGridLines="0" zoomScaleNormal="100" workbookViewId="0">
      <pane xSplit="4" ySplit="5" topLeftCell="E6" activePane="bottomRight" state="frozen"/>
      <selection pane="topRight" activeCell="E1" sqref="E1"/>
      <selection pane="bottomLeft" activeCell="A6" sqref="A6"/>
      <selection pane="bottomRight"/>
    </sheetView>
  </sheetViews>
  <sheetFormatPr defaultColWidth="8.6640625" defaultRowHeight="14.25" x14ac:dyDescent="0.45"/>
  <cols>
    <col min="1" max="1" width="4" customWidth="1"/>
    <col min="2" max="2" width="24" customWidth="1"/>
    <col min="3" max="3" width="26" customWidth="1"/>
    <col min="4" max="4" width="20" customWidth="1"/>
    <col min="5" max="5" width="13" customWidth="1"/>
    <col min="6" max="6" width="15" customWidth="1"/>
    <col min="7" max="7" width="20" customWidth="1"/>
    <col min="8" max="8" width="16" customWidth="1"/>
    <col min="9" max="9" width="14" customWidth="1"/>
    <col min="10" max="10" width="16" customWidth="1"/>
    <col min="11" max="12" width="14" customWidth="1"/>
    <col min="13" max="13" width="24" customWidth="1"/>
    <col min="14" max="14" width="17" customWidth="1"/>
    <col min="15" max="15" width="26" customWidth="1"/>
    <col min="16" max="16" width="15" customWidth="1"/>
    <col min="17" max="17" width="14" customWidth="1"/>
  </cols>
  <sheetData>
    <row r="1" spans="1:17" ht="30" customHeight="1" x14ac:dyDescent="0.45">
      <c r="A1" s="122" t="s">
        <v>131</v>
      </c>
      <c r="B1" s="122"/>
      <c r="C1" s="122"/>
      <c r="D1" s="122"/>
      <c r="E1" s="122"/>
      <c r="F1" s="122"/>
      <c r="G1" s="122"/>
      <c r="H1" s="122"/>
      <c r="I1" s="122"/>
      <c r="J1" s="122"/>
      <c r="K1" s="122"/>
      <c r="L1" s="122"/>
      <c r="M1" s="122"/>
      <c r="N1" s="122"/>
      <c r="O1" s="122"/>
      <c r="P1" s="122"/>
      <c r="Q1" s="122"/>
    </row>
    <row r="2" spans="1:17" ht="18" customHeight="1" x14ac:dyDescent="0.45">
      <c r="A2" s="123" t="s">
        <v>132</v>
      </c>
      <c r="B2" s="123"/>
      <c r="C2" s="123"/>
      <c r="D2" s="123"/>
      <c r="E2" s="123"/>
      <c r="F2" s="123"/>
      <c r="G2" s="123"/>
      <c r="H2" s="123"/>
      <c r="I2" s="123"/>
      <c r="J2" s="123"/>
      <c r="K2" s="123"/>
      <c r="L2" s="123"/>
      <c r="M2" s="123"/>
      <c r="N2" s="123"/>
      <c r="O2" s="123"/>
      <c r="P2" s="123"/>
      <c r="Q2" s="123"/>
    </row>
    <row r="3" spans="1:17" ht="21.75" customHeight="1" x14ac:dyDescent="0.45">
      <c r="A3" s="124" t="s">
        <v>133</v>
      </c>
      <c r="B3" s="124"/>
      <c r="C3" s="124"/>
      <c r="D3" s="124"/>
      <c r="E3" s="124"/>
      <c r="F3" s="124"/>
      <c r="G3" s="124"/>
      <c r="H3" s="124"/>
      <c r="I3" s="124"/>
      <c r="J3" s="124"/>
      <c r="K3" s="124"/>
      <c r="L3" s="124"/>
      <c r="M3" s="124"/>
      <c r="N3" s="124"/>
      <c r="O3" s="124"/>
      <c r="P3" s="124"/>
      <c r="Q3" s="124"/>
    </row>
    <row r="5" spans="1:17" ht="42" customHeight="1" x14ac:dyDescent="0.45">
      <c r="A5" s="32" t="s">
        <v>134</v>
      </c>
      <c r="B5" s="32" t="s">
        <v>135</v>
      </c>
      <c r="C5" s="32" t="s">
        <v>136</v>
      </c>
      <c r="D5" s="32" t="s">
        <v>137</v>
      </c>
      <c r="E5" s="32" t="s">
        <v>138</v>
      </c>
      <c r="F5" s="32" t="s">
        <v>139</v>
      </c>
      <c r="G5" s="32" t="s">
        <v>140</v>
      </c>
      <c r="H5" s="32" t="s">
        <v>141</v>
      </c>
      <c r="I5" s="32" t="s">
        <v>142</v>
      </c>
      <c r="J5" s="32" t="s">
        <v>143</v>
      </c>
      <c r="K5" s="32" t="s">
        <v>144</v>
      </c>
      <c r="L5" s="32" t="s">
        <v>145</v>
      </c>
      <c r="M5" s="32" t="s">
        <v>146</v>
      </c>
      <c r="N5" s="32" t="s">
        <v>147</v>
      </c>
      <c r="O5" s="32" t="s">
        <v>148</v>
      </c>
      <c r="P5" s="32" t="s">
        <v>149</v>
      </c>
      <c r="Q5" s="32" t="s">
        <v>150</v>
      </c>
    </row>
    <row r="6" spans="1:17" ht="24" x14ac:dyDescent="0.45">
      <c r="A6" s="33">
        <f>IF($B6="","",COUNTA($B$6:$B6))</f>
        <v>1</v>
      </c>
      <c r="B6" s="34" t="s">
        <v>151</v>
      </c>
      <c r="C6" s="35" t="s">
        <v>152</v>
      </c>
      <c r="D6" s="34" t="s">
        <v>153</v>
      </c>
      <c r="E6" s="34" t="s">
        <v>154</v>
      </c>
      <c r="F6" s="34" t="s">
        <v>155</v>
      </c>
      <c r="G6" s="34" t="s">
        <v>156</v>
      </c>
      <c r="H6" s="34" t="s">
        <v>155</v>
      </c>
      <c r="I6" s="34" t="s">
        <v>155</v>
      </c>
      <c r="J6" s="34" t="s">
        <v>157</v>
      </c>
      <c r="K6" s="34" t="s">
        <v>158</v>
      </c>
      <c r="L6" s="34" t="s">
        <v>158</v>
      </c>
      <c r="M6" s="36" t="str">
        <f t="shared" ref="M6:M37" si="0">IF($B6="","",IF($L6="Yes","PROHIBITED - do not deploy",IF($I6="No","Outside EU scope - baseline",IF($H6="Yes","High-Risk (Annex I)",IF(AND($G6&lt;&gt;"None",$G6&lt;&gt;""),"High-Risk (Annex III)",IF($F6="Yes","Limited-Risk (transparency)","Minimal-Risk"))))))</f>
        <v>High-Risk (Annex I)</v>
      </c>
      <c r="N6" s="37" t="str">
        <f t="shared" ref="N6:N37" si="1">IF($M6="","",IF($M6="PROHIBITED - do not deploy","Banned since Feb 2025",IF($M6="High-Risk (Annex I)","2 Aug 2028",IF($M6="High-Risk (Annex III)","2 Dec 2027",IF($M6="Limited-Risk (transparency)","2 Aug 2026 (live)","No fixed EU deadline")))))</f>
        <v>2 Aug 2028</v>
      </c>
      <c r="O6" s="38" t="str">
        <f t="shared" ref="O6:O37" si="2">IF($M6="","",IF(LEFT($M6,9)="High-Risk","Full regime: all 32 crosswalk capabilities",IF($M6="PROHIBITED - do not deploy","Do not deploy; remove from portfolio",IF($M6="Limited-Risk (transparency)","Transparency (Art.50) + literacy (Art.4) + baseline","Baseline governance: inventory, owner, policy"))))</f>
        <v>Full regime: all 32 crosswalk capabilities</v>
      </c>
      <c r="P6" s="39" t="s">
        <v>159</v>
      </c>
      <c r="Q6" s="40" t="str">
        <f t="shared" ref="Q6:Q37" ca="1" si="3">IF($P6="","",IF($P6&lt;TODAY(),"OVERDUE",IF($P6-TODAY()&lt;=30,"Due soon","On track")))</f>
        <v>On track</v>
      </c>
    </row>
    <row r="7" spans="1:17" x14ac:dyDescent="0.45">
      <c r="A7" s="33" t="str">
        <f>IF($B7="","",COUNTA($B$6:$B7))</f>
        <v/>
      </c>
      <c r="B7" s="34"/>
      <c r="C7" s="34"/>
      <c r="D7" s="34"/>
      <c r="E7" s="34"/>
      <c r="F7" s="34"/>
      <c r="G7" s="34"/>
      <c r="H7" s="34"/>
      <c r="I7" s="34"/>
      <c r="J7" s="34"/>
      <c r="K7" s="34"/>
      <c r="L7" s="34"/>
      <c r="M7" s="36" t="str">
        <f t="shared" si="0"/>
        <v/>
      </c>
      <c r="N7" s="37" t="str">
        <f t="shared" si="1"/>
        <v/>
      </c>
      <c r="O7" s="38" t="str">
        <f t="shared" si="2"/>
        <v/>
      </c>
      <c r="P7" s="39"/>
      <c r="Q7" s="40" t="str">
        <f t="shared" ca="1" si="3"/>
        <v/>
      </c>
    </row>
    <row r="8" spans="1:17" x14ac:dyDescent="0.45">
      <c r="A8" s="33" t="str">
        <f>IF($B8="","",COUNTA($B$6:$B8))</f>
        <v/>
      </c>
      <c r="B8" s="34"/>
      <c r="C8" s="34"/>
      <c r="D8" s="34"/>
      <c r="E8" s="34"/>
      <c r="F8" s="34"/>
      <c r="G8" s="34"/>
      <c r="H8" s="34"/>
      <c r="I8" s="34"/>
      <c r="J8" s="34"/>
      <c r="K8" s="34"/>
      <c r="L8" s="34"/>
      <c r="M8" s="36" t="str">
        <f t="shared" si="0"/>
        <v/>
      </c>
      <c r="N8" s="37" t="str">
        <f t="shared" si="1"/>
        <v/>
      </c>
      <c r="O8" s="38" t="str">
        <f t="shared" si="2"/>
        <v/>
      </c>
      <c r="P8" s="39"/>
      <c r="Q8" s="40" t="str">
        <f t="shared" ca="1" si="3"/>
        <v/>
      </c>
    </row>
    <row r="9" spans="1:17" x14ac:dyDescent="0.45">
      <c r="A9" s="33" t="str">
        <f>IF($B9="","",COUNTA($B$6:$B9))</f>
        <v/>
      </c>
      <c r="B9" s="34"/>
      <c r="C9" s="34"/>
      <c r="D9" s="34"/>
      <c r="E9" s="34"/>
      <c r="F9" s="34"/>
      <c r="G9" s="34"/>
      <c r="H9" s="34"/>
      <c r="I9" s="34"/>
      <c r="J9" s="34"/>
      <c r="K9" s="34"/>
      <c r="L9" s="34"/>
      <c r="M9" s="36" t="str">
        <f t="shared" si="0"/>
        <v/>
      </c>
      <c r="N9" s="37" t="str">
        <f t="shared" si="1"/>
        <v/>
      </c>
      <c r="O9" s="38" t="str">
        <f t="shared" si="2"/>
        <v/>
      </c>
      <c r="P9" s="39"/>
      <c r="Q9" s="40" t="str">
        <f t="shared" ca="1" si="3"/>
        <v/>
      </c>
    </row>
    <row r="10" spans="1:17" x14ac:dyDescent="0.45">
      <c r="A10" s="33" t="str">
        <f>IF($B10="","",COUNTA($B$6:$B10))</f>
        <v/>
      </c>
      <c r="B10" s="34"/>
      <c r="C10" s="34"/>
      <c r="D10" s="34"/>
      <c r="E10" s="34"/>
      <c r="F10" s="34"/>
      <c r="G10" s="34"/>
      <c r="H10" s="34"/>
      <c r="I10" s="34"/>
      <c r="J10" s="34"/>
      <c r="K10" s="34"/>
      <c r="L10" s="34"/>
      <c r="M10" s="36" t="str">
        <f t="shared" si="0"/>
        <v/>
      </c>
      <c r="N10" s="37" t="str">
        <f t="shared" si="1"/>
        <v/>
      </c>
      <c r="O10" s="38" t="str">
        <f t="shared" si="2"/>
        <v/>
      </c>
      <c r="P10" s="39"/>
      <c r="Q10" s="40" t="str">
        <f t="shared" ca="1" si="3"/>
        <v/>
      </c>
    </row>
    <row r="11" spans="1:17" x14ac:dyDescent="0.45">
      <c r="A11" s="33" t="str">
        <f>IF($B11="","",COUNTA($B$6:$B11))</f>
        <v/>
      </c>
      <c r="B11" s="34"/>
      <c r="C11" s="34"/>
      <c r="D11" s="34"/>
      <c r="E11" s="34"/>
      <c r="F11" s="34"/>
      <c r="G11" s="34"/>
      <c r="H11" s="34"/>
      <c r="I11" s="34"/>
      <c r="J11" s="34"/>
      <c r="K11" s="34"/>
      <c r="L11" s="34"/>
      <c r="M11" s="36" t="str">
        <f t="shared" si="0"/>
        <v/>
      </c>
      <c r="N11" s="37" t="str">
        <f t="shared" si="1"/>
        <v/>
      </c>
      <c r="O11" s="38" t="str">
        <f t="shared" si="2"/>
        <v/>
      </c>
      <c r="P11" s="39"/>
      <c r="Q11" s="40" t="str">
        <f t="shared" ca="1" si="3"/>
        <v/>
      </c>
    </row>
    <row r="12" spans="1:17" x14ac:dyDescent="0.45">
      <c r="A12" s="33" t="str">
        <f>IF($B12="","",COUNTA($B$6:$B12))</f>
        <v/>
      </c>
      <c r="B12" s="34"/>
      <c r="C12" s="34"/>
      <c r="D12" s="34"/>
      <c r="E12" s="34"/>
      <c r="F12" s="34"/>
      <c r="G12" s="34"/>
      <c r="H12" s="34"/>
      <c r="I12" s="34"/>
      <c r="J12" s="34"/>
      <c r="K12" s="34"/>
      <c r="L12" s="34"/>
      <c r="M12" s="36" t="str">
        <f t="shared" si="0"/>
        <v/>
      </c>
      <c r="N12" s="37" t="str">
        <f t="shared" si="1"/>
        <v/>
      </c>
      <c r="O12" s="38" t="str">
        <f t="shared" si="2"/>
        <v/>
      </c>
      <c r="P12" s="39"/>
      <c r="Q12" s="40" t="str">
        <f t="shared" ca="1" si="3"/>
        <v/>
      </c>
    </row>
    <row r="13" spans="1:17" x14ac:dyDescent="0.45">
      <c r="A13" s="33" t="str">
        <f>IF($B13="","",COUNTA($B$6:$B13))</f>
        <v/>
      </c>
      <c r="B13" s="34"/>
      <c r="C13" s="34"/>
      <c r="D13" s="34"/>
      <c r="E13" s="34"/>
      <c r="F13" s="34"/>
      <c r="G13" s="34"/>
      <c r="H13" s="34"/>
      <c r="I13" s="34"/>
      <c r="J13" s="34"/>
      <c r="K13" s="34"/>
      <c r="L13" s="34"/>
      <c r="M13" s="36" t="str">
        <f t="shared" si="0"/>
        <v/>
      </c>
      <c r="N13" s="37" t="str">
        <f t="shared" si="1"/>
        <v/>
      </c>
      <c r="O13" s="38" t="str">
        <f t="shared" si="2"/>
        <v/>
      </c>
      <c r="P13" s="39"/>
      <c r="Q13" s="40" t="str">
        <f t="shared" ca="1" si="3"/>
        <v/>
      </c>
    </row>
    <row r="14" spans="1:17" x14ac:dyDescent="0.45">
      <c r="A14" s="33" t="str">
        <f>IF($B14="","",COUNTA($B$6:$B14))</f>
        <v/>
      </c>
      <c r="B14" s="34"/>
      <c r="C14" s="34"/>
      <c r="D14" s="34"/>
      <c r="E14" s="34"/>
      <c r="F14" s="34"/>
      <c r="G14" s="34"/>
      <c r="H14" s="34"/>
      <c r="I14" s="34"/>
      <c r="J14" s="34"/>
      <c r="K14" s="34"/>
      <c r="L14" s="34"/>
      <c r="M14" s="36" t="str">
        <f t="shared" si="0"/>
        <v/>
      </c>
      <c r="N14" s="37" t="str">
        <f t="shared" si="1"/>
        <v/>
      </c>
      <c r="O14" s="38" t="str">
        <f t="shared" si="2"/>
        <v/>
      </c>
      <c r="P14" s="39"/>
      <c r="Q14" s="40" t="str">
        <f t="shared" ca="1" si="3"/>
        <v/>
      </c>
    </row>
    <row r="15" spans="1:17" x14ac:dyDescent="0.45">
      <c r="A15" s="33" t="str">
        <f>IF($B15="","",COUNTA($B$6:$B15))</f>
        <v/>
      </c>
      <c r="B15" s="34"/>
      <c r="C15" s="34"/>
      <c r="D15" s="34"/>
      <c r="E15" s="34"/>
      <c r="F15" s="34"/>
      <c r="G15" s="34"/>
      <c r="H15" s="34"/>
      <c r="I15" s="34"/>
      <c r="J15" s="34"/>
      <c r="K15" s="34"/>
      <c r="L15" s="34"/>
      <c r="M15" s="36" t="str">
        <f t="shared" si="0"/>
        <v/>
      </c>
      <c r="N15" s="37" t="str">
        <f t="shared" si="1"/>
        <v/>
      </c>
      <c r="O15" s="38" t="str">
        <f t="shared" si="2"/>
        <v/>
      </c>
      <c r="P15" s="39"/>
      <c r="Q15" s="40" t="str">
        <f t="shared" ca="1" si="3"/>
        <v/>
      </c>
    </row>
    <row r="16" spans="1:17" x14ac:dyDescent="0.45">
      <c r="A16" s="33" t="str">
        <f>IF($B16="","",COUNTA($B$6:$B16))</f>
        <v/>
      </c>
      <c r="B16" s="34"/>
      <c r="C16" s="34"/>
      <c r="D16" s="34"/>
      <c r="E16" s="34"/>
      <c r="F16" s="34"/>
      <c r="G16" s="34"/>
      <c r="H16" s="34"/>
      <c r="I16" s="34"/>
      <c r="J16" s="34"/>
      <c r="K16" s="34"/>
      <c r="L16" s="34"/>
      <c r="M16" s="36" t="str">
        <f t="shared" si="0"/>
        <v/>
      </c>
      <c r="N16" s="37" t="str">
        <f t="shared" si="1"/>
        <v/>
      </c>
      <c r="O16" s="38" t="str">
        <f t="shared" si="2"/>
        <v/>
      </c>
      <c r="P16" s="39"/>
      <c r="Q16" s="40" t="str">
        <f t="shared" ca="1" si="3"/>
        <v/>
      </c>
    </row>
    <row r="17" spans="1:17" x14ac:dyDescent="0.45">
      <c r="A17" s="33" t="str">
        <f>IF($B17="","",COUNTA($B$6:$B17))</f>
        <v/>
      </c>
      <c r="B17" s="34"/>
      <c r="C17" s="34"/>
      <c r="D17" s="34"/>
      <c r="E17" s="34"/>
      <c r="F17" s="34"/>
      <c r="G17" s="34"/>
      <c r="H17" s="34"/>
      <c r="I17" s="34"/>
      <c r="J17" s="34"/>
      <c r="K17" s="34"/>
      <c r="L17" s="34"/>
      <c r="M17" s="36" t="str">
        <f t="shared" si="0"/>
        <v/>
      </c>
      <c r="N17" s="37" t="str">
        <f t="shared" si="1"/>
        <v/>
      </c>
      <c r="O17" s="38" t="str">
        <f t="shared" si="2"/>
        <v/>
      </c>
      <c r="P17" s="39"/>
      <c r="Q17" s="40" t="str">
        <f t="shared" ca="1" si="3"/>
        <v/>
      </c>
    </row>
    <row r="18" spans="1:17" x14ac:dyDescent="0.45">
      <c r="A18" s="33" t="str">
        <f>IF($B18="","",COUNTA($B$6:$B18))</f>
        <v/>
      </c>
      <c r="B18" s="34"/>
      <c r="C18" s="34"/>
      <c r="D18" s="34"/>
      <c r="E18" s="34"/>
      <c r="F18" s="34"/>
      <c r="G18" s="34"/>
      <c r="H18" s="34"/>
      <c r="I18" s="34"/>
      <c r="J18" s="34"/>
      <c r="K18" s="34"/>
      <c r="L18" s="34"/>
      <c r="M18" s="36" t="str">
        <f t="shared" si="0"/>
        <v/>
      </c>
      <c r="N18" s="37" t="str">
        <f t="shared" si="1"/>
        <v/>
      </c>
      <c r="O18" s="38" t="str">
        <f t="shared" si="2"/>
        <v/>
      </c>
      <c r="P18" s="39"/>
      <c r="Q18" s="40" t="str">
        <f t="shared" ca="1" si="3"/>
        <v/>
      </c>
    </row>
    <row r="19" spans="1:17" x14ac:dyDescent="0.45">
      <c r="A19" s="33" t="str">
        <f>IF($B19="","",COUNTA($B$6:$B19))</f>
        <v/>
      </c>
      <c r="B19" s="34"/>
      <c r="C19" s="34"/>
      <c r="D19" s="34"/>
      <c r="E19" s="34"/>
      <c r="F19" s="34"/>
      <c r="G19" s="34"/>
      <c r="H19" s="34"/>
      <c r="I19" s="34"/>
      <c r="J19" s="34"/>
      <c r="K19" s="34"/>
      <c r="L19" s="34"/>
      <c r="M19" s="36" t="str">
        <f t="shared" si="0"/>
        <v/>
      </c>
      <c r="N19" s="37" t="str">
        <f t="shared" si="1"/>
        <v/>
      </c>
      <c r="O19" s="38" t="str">
        <f t="shared" si="2"/>
        <v/>
      </c>
      <c r="P19" s="39"/>
      <c r="Q19" s="40" t="str">
        <f t="shared" ca="1" si="3"/>
        <v/>
      </c>
    </row>
    <row r="20" spans="1:17" x14ac:dyDescent="0.45">
      <c r="A20" s="33" t="str">
        <f>IF($B20="","",COUNTA($B$6:$B20))</f>
        <v/>
      </c>
      <c r="B20" s="34"/>
      <c r="C20" s="34"/>
      <c r="D20" s="34"/>
      <c r="E20" s="34"/>
      <c r="F20" s="34"/>
      <c r="G20" s="34"/>
      <c r="H20" s="34"/>
      <c r="I20" s="34"/>
      <c r="J20" s="34"/>
      <c r="K20" s="34"/>
      <c r="L20" s="34"/>
      <c r="M20" s="36" t="str">
        <f t="shared" si="0"/>
        <v/>
      </c>
      <c r="N20" s="37" t="str">
        <f t="shared" si="1"/>
        <v/>
      </c>
      <c r="O20" s="38" t="str">
        <f t="shared" si="2"/>
        <v/>
      </c>
      <c r="P20" s="39"/>
      <c r="Q20" s="40" t="str">
        <f t="shared" ca="1" si="3"/>
        <v/>
      </c>
    </row>
    <row r="21" spans="1:17" x14ac:dyDescent="0.45">
      <c r="A21" s="33" t="str">
        <f>IF($B21="","",COUNTA($B$6:$B21))</f>
        <v/>
      </c>
      <c r="B21" s="34"/>
      <c r="C21" s="34"/>
      <c r="D21" s="34"/>
      <c r="E21" s="34"/>
      <c r="F21" s="34"/>
      <c r="G21" s="34"/>
      <c r="H21" s="34"/>
      <c r="I21" s="34"/>
      <c r="J21" s="34"/>
      <c r="K21" s="34"/>
      <c r="L21" s="34"/>
      <c r="M21" s="36" t="str">
        <f t="shared" si="0"/>
        <v/>
      </c>
      <c r="N21" s="37" t="str">
        <f t="shared" si="1"/>
        <v/>
      </c>
      <c r="O21" s="38" t="str">
        <f t="shared" si="2"/>
        <v/>
      </c>
      <c r="P21" s="39"/>
      <c r="Q21" s="40" t="str">
        <f t="shared" ca="1" si="3"/>
        <v/>
      </c>
    </row>
    <row r="22" spans="1:17" x14ac:dyDescent="0.45">
      <c r="A22" s="33" t="str">
        <f>IF($B22="","",COUNTA($B$6:$B22))</f>
        <v/>
      </c>
      <c r="B22" s="34"/>
      <c r="C22" s="34"/>
      <c r="D22" s="34"/>
      <c r="E22" s="34"/>
      <c r="F22" s="34"/>
      <c r="G22" s="34"/>
      <c r="H22" s="34"/>
      <c r="I22" s="34"/>
      <c r="J22" s="34"/>
      <c r="K22" s="34"/>
      <c r="L22" s="34"/>
      <c r="M22" s="36" t="str">
        <f t="shared" si="0"/>
        <v/>
      </c>
      <c r="N22" s="37" t="str">
        <f t="shared" si="1"/>
        <v/>
      </c>
      <c r="O22" s="38" t="str">
        <f t="shared" si="2"/>
        <v/>
      </c>
      <c r="P22" s="39"/>
      <c r="Q22" s="40" t="str">
        <f t="shared" ca="1" si="3"/>
        <v/>
      </c>
    </row>
    <row r="23" spans="1:17" x14ac:dyDescent="0.45">
      <c r="A23" s="33" t="str">
        <f>IF($B23="","",COUNTA($B$6:$B23))</f>
        <v/>
      </c>
      <c r="B23" s="34"/>
      <c r="C23" s="34"/>
      <c r="D23" s="34"/>
      <c r="E23" s="34"/>
      <c r="F23" s="34"/>
      <c r="G23" s="34"/>
      <c r="H23" s="34"/>
      <c r="I23" s="34"/>
      <c r="J23" s="34"/>
      <c r="K23" s="34"/>
      <c r="L23" s="34"/>
      <c r="M23" s="36" t="str">
        <f t="shared" si="0"/>
        <v/>
      </c>
      <c r="N23" s="37" t="str">
        <f t="shared" si="1"/>
        <v/>
      </c>
      <c r="O23" s="38" t="str">
        <f t="shared" si="2"/>
        <v/>
      </c>
      <c r="P23" s="39"/>
      <c r="Q23" s="40" t="str">
        <f t="shared" ca="1" si="3"/>
        <v/>
      </c>
    </row>
    <row r="24" spans="1:17" x14ac:dyDescent="0.45">
      <c r="A24" s="33" t="str">
        <f>IF($B24="","",COUNTA($B$6:$B24))</f>
        <v/>
      </c>
      <c r="B24" s="34"/>
      <c r="C24" s="34"/>
      <c r="D24" s="34"/>
      <c r="E24" s="34"/>
      <c r="F24" s="34"/>
      <c r="G24" s="34"/>
      <c r="H24" s="34"/>
      <c r="I24" s="34"/>
      <c r="J24" s="34"/>
      <c r="K24" s="34"/>
      <c r="L24" s="34"/>
      <c r="M24" s="36" t="str">
        <f t="shared" si="0"/>
        <v/>
      </c>
      <c r="N24" s="37" t="str">
        <f t="shared" si="1"/>
        <v/>
      </c>
      <c r="O24" s="38" t="str">
        <f t="shared" si="2"/>
        <v/>
      </c>
      <c r="P24" s="39"/>
      <c r="Q24" s="40" t="str">
        <f t="shared" ca="1" si="3"/>
        <v/>
      </c>
    </row>
    <row r="25" spans="1:17" x14ac:dyDescent="0.45">
      <c r="A25" s="33" t="str">
        <f>IF($B25="","",COUNTA($B$6:$B25))</f>
        <v/>
      </c>
      <c r="B25" s="34"/>
      <c r="C25" s="34"/>
      <c r="D25" s="34"/>
      <c r="E25" s="34"/>
      <c r="F25" s="34"/>
      <c r="G25" s="34"/>
      <c r="H25" s="34"/>
      <c r="I25" s="34"/>
      <c r="J25" s="34"/>
      <c r="K25" s="34"/>
      <c r="L25" s="34"/>
      <c r="M25" s="36" t="str">
        <f t="shared" si="0"/>
        <v/>
      </c>
      <c r="N25" s="37" t="str">
        <f t="shared" si="1"/>
        <v/>
      </c>
      <c r="O25" s="38" t="str">
        <f t="shared" si="2"/>
        <v/>
      </c>
      <c r="P25" s="39"/>
      <c r="Q25" s="40" t="str">
        <f t="shared" ca="1" si="3"/>
        <v/>
      </c>
    </row>
    <row r="26" spans="1:17" x14ac:dyDescent="0.45">
      <c r="A26" s="33" t="str">
        <f>IF($B26="","",COUNTA($B$6:$B26))</f>
        <v/>
      </c>
      <c r="B26" s="34"/>
      <c r="C26" s="34"/>
      <c r="D26" s="34"/>
      <c r="E26" s="34"/>
      <c r="F26" s="34"/>
      <c r="G26" s="34"/>
      <c r="H26" s="34"/>
      <c r="I26" s="34"/>
      <c r="J26" s="34"/>
      <c r="K26" s="34"/>
      <c r="L26" s="34"/>
      <c r="M26" s="36" t="str">
        <f t="shared" si="0"/>
        <v/>
      </c>
      <c r="N26" s="37" t="str">
        <f t="shared" si="1"/>
        <v/>
      </c>
      <c r="O26" s="38" t="str">
        <f t="shared" si="2"/>
        <v/>
      </c>
      <c r="P26" s="39"/>
      <c r="Q26" s="40" t="str">
        <f t="shared" ca="1" si="3"/>
        <v/>
      </c>
    </row>
    <row r="27" spans="1:17" x14ac:dyDescent="0.45">
      <c r="A27" s="33" t="str">
        <f>IF($B27="","",COUNTA($B$6:$B27))</f>
        <v/>
      </c>
      <c r="B27" s="34"/>
      <c r="C27" s="34"/>
      <c r="D27" s="34"/>
      <c r="E27" s="34"/>
      <c r="F27" s="34"/>
      <c r="G27" s="34"/>
      <c r="H27" s="34"/>
      <c r="I27" s="34"/>
      <c r="J27" s="34"/>
      <c r="K27" s="34"/>
      <c r="L27" s="34"/>
      <c r="M27" s="36" t="str">
        <f t="shared" si="0"/>
        <v/>
      </c>
      <c r="N27" s="37" t="str">
        <f t="shared" si="1"/>
        <v/>
      </c>
      <c r="O27" s="38" t="str">
        <f t="shared" si="2"/>
        <v/>
      </c>
      <c r="P27" s="39"/>
      <c r="Q27" s="40" t="str">
        <f t="shared" ca="1" si="3"/>
        <v/>
      </c>
    </row>
    <row r="28" spans="1:17" x14ac:dyDescent="0.45">
      <c r="A28" s="33" t="str">
        <f>IF($B28="","",COUNTA($B$6:$B28))</f>
        <v/>
      </c>
      <c r="B28" s="34"/>
      <c r="C28" s="34"/>
      <c r="D28" s="34"/>
      <c r="E28" s="34"/>
      <c r="F28" s="34"/>
      <c r="G28" s="34"/>
      <c r="H28" s="34"/>
      <c r="I28" s="34"/>
      <c r="J28" s="34"/>
      <c r="K28" s="34"/>
      <c r="L28" s="34"/>
      <c r="M28" s="36" t="str">
        <f t="shared" si="0"/>
        <v/>
      </c>
      <c r="N28" s="37" t="str">
        <f t="shared" si="1"/>
        <v/>
      </c>
      <c r="O28" s="38" t="str">
        <f t="shared" si="2"/>
        <v/>
      </c>
      <c r="P28" s="39"/>
      <c r="Q28" s="40" t="str">
        <f t="shared" ca="1" si="3"/>
        <v/>
      </c>
    </row>
    <row r="29" spans="1:17" x14ac:dyDescent="0.45">
      <c r="A29" s="33" t="str">
        <f>IF($B29="","",COUNTA($B$6:$B29))</f>
        <v/>
      </c>
      <c r="B29" s="34"/>
      <c r="C29" s="34"/>
      <c r="D29" s="34"/>
      <c r="E29" s="34"/>
      <c r="F29" s="34"/>
      <c r="G29" s="34"/>
      <c r="H29" s="34"/>
      <c r="I29" s="34"/>
      <c r="J29" s="34"/>
      <c r="K29" s="34"/>
      <c r="L29" s="34"/>
      <c r="M29" s="36" t="str">
        <f t="shared" si="0"/>
        <v/>
      </c>
      <c r="N29" s="37" t="str">
        <f t="shared" si="1"/>
        <v/>
      </c>
      <c r="O29" s="38" t="str">
        <f t="shared" si="2"/>
        <v/>
      </c>
      <c r="P29" s="39"/>
      <c r="Q29" s="40" t="str">
        <f t="shared" ca="1" si="3"/>
        <v/>
      </c>
    </row>
    <row r="30" spans="1:17" x14ac:dyDescent="0.45">
      <c r="A30" s="33" t="str">
        <f>IF($B30="","",COUNTA($B$6:$B30))</f>
        <v/>
      </c>
      <c r="B30" s="34"/>
      <c r="C30" s="34"/>
      <c r="D30" s="34"/>
      <c r="E30" s="34"/>
      <c r="F30" s="34"/>
      <c r="G30" s="34"/>
      <c r="H30" s="34"/>
      <c r="I30" s="34"/>
      <c r="J30" s="34"/>
      <c r="K30" s="34"/>
      <c r="L30" s="34"/>
      <c r="M30" s="36" t="str">
        <f t="shared" si="0"/>
        <v/>
      </c>
      <c r="N30" s="37" t="str">
        <f t="shared" si="1"/>
        <v/>
      </c>
      <c r="O30" s="38" t="str">
        <f t="shared" si="2"/>
        <v/>
      </c>
      <c r="P30" s="39"/>
      <c r="Q30" s="40" t="str">
        <f t="shared" ca="1" si="3"/>
        <v/>
      </c>
    </row>
    <row r="31" spans="1:17" x14ac:dyDescent="0.45">
      <c r="A31" s="33" t="str">
        <f>IF($B31="","",COUNTA($B$6:$B31))</f>
        <v/>
      </c>
      <c r="B31" s="34"/>
      <c r="C31" s="34"/>
      <c r="D31" s="34"/>
      <c r="E31" s="34"/>
      <c r="F31" s="34"/>
      <c r="G31" s="34"/>
      <c r="H31" s="34"/>
      <c r="I31" s="34"/>
      <c r="J31" s="34"/>
      <c r="K31" s="34"/>
      <c r="L31" s="34"/>
      <c r="M31" s="36" t="str">
        <f t="shared" si="0"/>
        <v/>
      </c>
      <c r="N31" s="37" t="str">
        <f t="shared" si="1"/>
        <v/>
      </c>
      <c r="O31" s="38" t="str">
        <f t="shared" si="2"/>
        <v/>
      </c>
      <c r="P31" s="39"/>
      <c r="Q31" s="40" t="str">
        <f t="shared" ca="1" si="3"/>
        <v/>
      </c>
    </row>
    <row r="32" spans="1:17" x14ac:dyDescent="0.45">
      <c r="A32" s="33" t="str">
        <f>IF($B32="","",COUNTA($B$6:$B32))</f>
        <v/>
      </c>
      <c r="B32" s="34"/>
      <c r="C32" s="34"/>
      <c r="D32" s="34"/>
      <c r="E32" s="34"/>
      <c r="F32" s="34"/>
      <c r="G32" s="34"/>
      <c r="H32" s="34"/>
      <c r="I32" s="34"/>
      <c r="J32" s="34"/>
      <c r="K32" s="34"/>
      <c r="L32" s="34"/>
      <c r="M32" s="36" t="str">
        <f t="shared" si="0"/>
        <v/>
      </c>
      <c r="N32" s="37" t="str">
        <f t="shared" si="1"/>
        <v/>
      </c>
      <c r="O32" s="38" t="str">
        <f t="shared" si="2"/>
        <v/>
      </c>
      <c r="P32" s="39"/>
      <c r="Q32" s="40" t="str">
        <f t="shared" ca="1" si="3"/>
        <v/>
      </c>
    </row>
    <row r="33" spans="1:17" x14ac:dyDescent="0.45">
      <c r="A33" s="33" t="str">
        <f>IF($B33="","",COUNTA($B$6:$B33))</f>
        <v/>
      </c>
      <c r="B33" s="34"/>
      <c r="C33" s="34"/>
      <c r="D33" s="34"/>
      <c r="E33" s="34"/>
      <c r="F33" s="34"/>
      <c r="G33" s="34"/>
      <c r="H33" s="34"/>
      <c r="I33" s="34"/>
      <c r="J33" s="34"/>
      <c r="K33" s="34"/>
      <c r="L33" s="34"/>
      <c r="M33" s="36" t="str">
        <f t="shared" si="0"/>
        <v/>
      </c>
      <c r="N33" s="37" t="str">
        <f t="shared" si="1"/>
        <v/>
      </c>
      <c r="O33" s="38" t="str">
        <f t="shared" si="2"/>
        <v/>
      </c>
      <c r="P33" s="39"/>
      <c r="Q33" s="40" t="str">
        <f t="shared" ca="1" si="3"/>
        <v/>
      </c>
    </row>
    <row r="34" spans="1:17" x14ac:dyDescent="0.45">
      <c r="A34" s="33" t="str">
        <f>IF($B34="","",COUNTA($B$6:$B34))</f>
        <v/>
      </c>
      <c r="B34" s="34"/>
      <c r="C34" s="34"/>
      <c r="D34" s="34"/>
      <c r="E34" s="34"/>
      <c r="F34" s="34"/>
      <c r="G34" s="34"/>
      <c r="H34" s="34"/>
      <c r="I34" s="34"/>
      <c r="J34" s="34"/>
      <c r="K34" s="34"/>
      <c r="L34" s="34"/>
      <c r="M34" s="36" t="str">
        <f t="shared" si="0"/>
        <v/>
      </c>
      <c r="N34" s="37" t="str">
        <f t="shared" si="1"/>
        <v/>
      </c>
      <c r="O34" s="38" t="str">
        <f t="shared" si="2"/>
        <v/>
      </c>
      <c r="P34" s="39"/>
      <c r="Q34" s="40" t="str">
        <f t="shared" ca="1" si="3"/>
        <v/>
      </c>
    </row>
    <row r="35" spans="1:17" x14ac:dyDescent="0.45">
      <c r="A35" s="33" t="str">
        <f>IF($B35="","",COUNTA($B$6:$B35))</f>
        <v/>
      </c>
      <c r="B35" s="34"/>
      <c r="C35" s="34"/>
      <c r="D35" s="34"/>
      <c r="E35" s="34"/>
      <c r="F35" s="34"/>
      <c r="G35" s="34"/>
      <c r="H35" s="34"/>
      <c r="I35" s="34"/>
      <c r="J35" s="34"/>
      <c r="K35" s="34"/>
      <c r="L35" s="34"/>
      <c r="M35" s="36" t="str">
        <f t="shared" si="0"/>
        <v/>
      </c>
      <c r="N35" s="37" t="str">
        <f t="shared" si="1"/>
        <v/>
      </c>
      <c r="O35" s="38" t="str">
        <f t="shared" si="2"/>
        <v/>
      </c>
      <c r="P35" s="39"/>
      <c r="Q35" s="40" t="str">
        <f t="shared" ca="1" si="3"/>
        <v/>
      </c>
    </row>
    <row r="36" spans="1:17" x14ac:dyDescent="0.45">
      <c r="A36" s="33" t="str">
        <f>IF($B36="","",COUNTA($B$6:$B36))</f>
        <v/>
      </c>
      <c r="B36" s="34"/>
      <c r="C36" s="34"/>
      <c r="D36" s="34"/>
      <c r="E36" s="34"/>
      <c r="F36" s="34"/>
      <c r="G36" s="34"/>
      <c r="H36" s="34"/>
      <c r="I36" s="34"/>
      <c r="J36" s="34"/>
      <c r="K36" s="34"/>
      <c r="L36" s="34"/>
      <c r="M36" s="36" t="str">
        <f t="shared" si="0"/>
        <v/>
      </c>
      <c r="N36" s="37" t="str">
        <f t="shared" si="1"/>
        <v/>
      </c>
      <c r="O36" s="38" t="str">
        <f t="shared" si="2"/>
        <v/>
      </c>
      <c r="P36" s="39"/>
      <c r="Q36" s="40" t="str">
        <f t="shared" ca="1" si="3"/>
        <v/>
      </c>
    </row>
    <row r="37" spans="1:17" x14ac:dyDescent="0.45">
      <c r="A37" s="33" t="str">
        <f>IF($B37="","",COUNTA($B$6:$B37))</f>
        <v/>
      </c>
      <c r="B37" s="34"/>
      <c r="C37" s="34"/>
      <c r="D37" s="34"/>
      <c r="E37" s="34"/>
      <c r="F37" s="34"/>
      <c r="G37" s="34"/>
      <c r="H37" s="34"/>
      <c r="I37" s="34"/>
      <c r="J37" s="34"/>
      <c r="K37" s="34"/>
      <c r="L37" s="34"/>
      <c r="M37" s="36" t="str">
        <f t="shared" si="0"/>
        <v/>
      </c>
      <c r="N37" s="37" t="str">
        <f t="shared" si="1"/>
        <v/>
      </c>
      <c r="O37" s="38" t="str">
        <f t="shared" si="2"/>
        <v/>
      </c>
      <c r="P37" s="39"/>
      <c r="Q37" s="40" t="str">
        <f t="shared" ca="1" si="3"/>
        <v/>
      </c>
    </row>
    <row r="38" spans="1:17" x14ac:dyDescent="0.45">
      <c r="A38" s="33" t="str">
        <f>IF($B38="","",COUNTA($B$6:$B38))</f>
        <v/>
      </c>
      <c r="B38" s="34"/>
      <c r="C38" s="34"/>
      <c r="D38" s="34"/>
      <c r="E38" s="34"/>
      <c r="F38" s="34"/>
      <c r="G38" s="34"/>
      <c r="H38" s="34"/>
      <c r="I38" s="34"/>
      <c r="J38" s="34"/>
      <c r="K38" s="34"/>
      <c r="L38" s="34"/>
      <c r="M38" s="36" t="str">
        <f t="shared" ref="M38:M65" si="4">IF($B38="","",IF($L38="Yes","PROHIBITED - do not deploy",IF($I38="No","Outside EU scope - baseline",IF($H38="Yes","High-Risk (Annex I)",IF(AND($G38&lt;&gt;"None",$G38&lt;&gt;""),"High-Risk (Annex III)",IF($F38="Yes","Limited-Risk (transparency)","Minimal-Risk"))))))</f>
        <v/>
      </c>
      <c r="N38" s="37" t="str">
        <f t="shared" ref="N38:N65" si="5">IF($M38="","",IF($M38="PROHIBITED - do not deploy","Banned since Feb 2025",IF($M38="High-Risk (Annex I)","2 Aug 2028",IF($M38="High-Risk (Annex III)","2 Dec 2027",IF($M38="Limited-Risk (transparency)","2 Aug 2026 (live)","No fixed EU deadline")))))</f>
        <v/>
      </c>
      <c r="O38" s="38" t="str">
        <f t="shared" ref="O38:O65" si="6">IF($M38="","",IF(LEFT($M38,9)="High-Risk","Full regime: all 32 crosswalk capabilities",IF($M38="PROHIBITED - do not deploy","Do not deploy; remove from portfolio",IF($M38="Limited-Risk (transparency)","Transparency (Art.50) + literacy (Art.4) + baseline","Baseline governance: inventory, owner, policy"))))</f>
        <v/>
      </c>
      <c r="P38" s="39"/>
      <c r="Q38" s="40" t="str">
        <f t="shared" ref="Q38:Q65" ca="1" si="7">IF($P38="","",IF($P38&lt;TODAY(),"OVERDUE",IF($P38-TODAY()&lt;=30,"Due soon","On track")))</f>
        <v/>
      </c>
    </row>
    <row r="39" spans="1:17" x14ac:dyDescent="0.45">
      <c r="A39" s="33" t="str">
        <f>IF($B39="","",COUNTA($B$6:$B39))</f>
        <v/>
      </c>
      <c r="B39" s="34"/>
      <c r="C39" s="34"/>
      <c r="D39" s="34"/>
      <c r="E39" s="34"/>
      <c r="F39" s="34"/>
      <c r="G39" s="34"/>
      <c r="H39" s="34"/>
      <c r="I39" s="34"/>
      <c r="J39" s="34"/>
      <c r="K39" s="34"/>
      <c r="L39" s="34"/>
      <c r="M39" s="36" t="str">
        <f t="shared" si="4"/>
        <v/>
      </c>
      <c r="N39" s="37" t="str">
        <f t="shared" si="5"/>
        <v/>
      </c>
      <c r="O39" s="38" t="str">
        <f t="shared" si="6"/>
        <v/>
      </c>
      <c r="P39" s="39"/>
      <c r="Q39" s="40" t="str">
        <f t="shared" ca="1" si="7"/>
        <v/>
      </c>
    </row>
    <row r="40" spans="1:17" x14ac:dyDescent="0.45">
      <c r="A40" s="33" t="str">
        <f>IF($B40="","",COUNTA($B$6:$B40))</f>
        <v/>
      </c>
      <c r="B40" s="34"/>
      <c r="C40" s="34"/>
      <c r="D40" s="34"/>
      <c r="E40" s="34"/>
      <c r="F40" s="34"/>
      <c r="G40" s="34"/>
      <c r="H40" s="34"/>
      <c r="I40" s="34"/>
      <c r="J40" s="34"/>
      <c r="K40" s="34"/>
      <c r="L40" s="34"/>
      <c r="M40" s="36" t="str">
        <f t="shared" si="4"/>
        <v/>
      </c>
      <c r="N40" s="37" t="str">
        <f t="shared" si="5"/>
        <v/>
      </c>
      <c r="O40" s="38" t="str">
        <f t="shared" si="6"/>
        <v/>
      </c>
      <c r="P40" s="39"/>
      <c r="Q40" s="40" t="str">
        <f t="shared" ca="1" si="7"/>
        <v/>
      </c>
    </row>
    <row r="41" spans="1:17" x14ac:dyDescent="0.45">
      <c r="A41" s="33" t="str">
        <f>IF($B41="","",COUNTA($B$6:$B41))</f>
        <v/>
      </c>
      <c r="B41" s="34"/>
      <c r="C41" s="34"/>
      <c r="D41" s="34"/>
      <c r="E41" s="34"/>
      <c r="F41" s="34"/>
      <c r="G41" s="34"/>
      <c r="H41" s="34"/>
      <c r="I41" s="34"/>
      <c r="J41" s="34"/>
      <c r="K41" s="34"/>
      <c r="L41" s="34"/>
      <c r="M41" s="36" t="str">
        <f t="shared" si="4"/>
        <v/>
      </c>
      <c r="N41" s="37" t="str">
        <f t="shared" si="5"/>
        <v/>
      </c>
      <c r="O41" s="38" t="str">
        <f t="shared" si="6"/>
        <v/>
      </c>
      <c r="P41" s="39"/>
      <c r="Q41" s="40" t="str">
        <f t="shared" ca="1" si="7"/>
        <v/>
      </c>
    </row>
    <row r="42" spans="1:17" x14ac:dyDescent="0.45">
      <c r="A42" s="33" t="str">
        <f>IF($B42="","",COUNTA($B$6:$B42))</f>
        <v/>
      </c>
      <c r="B42" s="34"/>
      <c r="C42" s="34"/>
      <c r="D42" s="34"/>
      <c r="E42" s="34"/>
      <c r="F42" s="34"/>
      <c r="G42" s="34"/>
      <c r="H42" s="34"/>
      <c r="I42" s="34"/>
      <c r="J42" s="34"/>
      <c r="K42" s="34"/>
      <c r="L42" s="34"/>
      <c r="M42" s="36" t="str">
        <f t="shared" si="4"/>
        <v/>
      </c>
      <c r="N42" s="37" t="str">
        <f t="shared" si="5"/>
        <v/>
      </c>
      <c r="O42" s="38" t="str">
        <f t="shared" si="6"/>
        <v/>
      </c>
      <c r="P42" s="39"/>
      <c r="Q42" s="40" t="str">
        <f t="shared" ca="1" si="7"/>
        <v/>
      </c>
    </row>
    <row r="43" spans="1:17" x14ac:dyDescent="0.45">
      <c r="A43" s="33" t="str">
        <f>IF($B43="","",COUNTA($B$6:$B43))</f>
        <v/>
      </c>
      <c r="B43" s="34"/>
      <c r="C43" s="34"/>
      <c r="D43" s="34"/>
      <c r="E43" s="34"/>
      <c r="F43" s="34"/>
      <c r="G43" s="34"/>
      <c r="H43" s="34"/>
      <c r="I43" s="34"/>
      <c r="J43" s="34"/>
      <c r="K43" s="34"/>
      <c r="L43" s="34"/>
      <c r="M43" s="36" t="str">
        <f t="shared" si="4"/>
        <v/>
      </c>
      <c r="N43" s="37" t="str">
        <f t="shared" si="5"/>
        <v/>
      </c>
      <c r="O43" s="38" t="str">
        <f t="shared" si="6"/>
        <v/>
      </c>
      <c r="P43" s="39"/>
      <c r="Q43" s="40" t="str">
        <f t="shared" ca="1" si="7"/>
        <v/>
      </c>
    </row>
    <row r="44" spans="1:17" x14ac:dyDescent="0.45">
      <c r="A44" s="33" t="str">
        <f>IF($B44="","",COUNTA($B$6:$B44))</f>
        <v/>
      </c>
      <c r="B44" s="34"/>
      <c r="C44" s="34"/>
      <c r="D44" s="34"/>
      <c r="E44" s="34"/>
      <c r="F44" s="34"/>
      <c r="G44" s="34"/>
      <c r="H44" s="34"/>
      <c r="I44" s="34"/>
      <c r="J44" s="34"/>
      <c r="K44" s="34"/>
      <c r="L44" s="34"/>
      <c r="M44" s="36" t="str">
        <f t="shared" si="4"/>
        <v/>
      </c>
      <c r="N44" s="37" t="str">
        <f t="shared" si="5"/>
        <v/>
      </c>
      <c r="O44" s="38" t="str">
        <f t="shared" si="6"/>
        <v/>
      </c>
      <c r="P44" s="39"/>
      <c r="Q44" s="40" t="str">
        <f t="shared" ca="1" si="7"/>
        <v/>
      </c>
    </row>
    <row r="45" spans="1:17" x14ac:dyDescent="0.45">
      <c r="A45" s="33" t="str">
        <f>IF($B45="","",COUNTA($B$6:$B45))</f>
        <v/>
      </c>
      <c r="B45" s="34"/>
      <c r="C45" s="34"/>
      <c r="D45" s="34"/>
      <c r="E45" s="34"/>
      <c r="F45" s="34"/>
      <c r="G45" s="34"/>
      <c r="H45" s="34"/>
      <c r="I45" s="34"/>
      <c r="J45" s="34"/>
      <c r="K45" s="34"/>
      <c r="L45" s="34"/>
      <c r="M45" s="36" t="str">
        <f t="shared" si="4"/>
        <v/>
      </c>
      <c r="N45" s="37" t="str">
        <f t="shared" si="5"/>
        <v/>
      </c>
      <c r="O45" s="38" t="str">
        <f t="shared" si="6"/>
        <v/>
      </c>
      <c r="P45" s="39"/>
      <c r="Q45" s="40" t="str">
        <f t="shared" ca="1" si="7"/>
        <v/>
      </c>
    </row>
    <row r="46" spans="1:17" x14ac:dyDescent="0.45">
      <c r="A46" s="33" t="str">
        <f>IF($B46="","",COUNTA($B$6:$B46))</f>
        <v/>
      </c>
      <c r="B46" s="34"/>
      <c r="C46" s="34"/>
      <c r="D46" s="34"/>
      <c r="E46" s="34"/>
      <c r="F46" s="34"/>
      <c r="G46" s="34"/>
      <c r="H46" s="34"/>
      <c r="I46" s="34"/>
      <c r="J46" s="34"/>
      <c r="K46" s="34"/>
      <c r="L46" s="34"/>
      <c r="M46" s="36" t="str">
        <f t="shared" si="4"/>
        <v/>
      </c>
      <c r="N46" s="37" t="str">
        <f t="shared" si="5"/>
        <v/>
      </c>
      <c r="O46" s="38" t="str">
        <f t="shared" si="6"/>
        <v/>
      </c>
      <c r="P46" s="39"/>
      <c r="Q46" s="40" t="str">
        <f t="shared" ca="1" si="7"/>
        <v/>
      </c>
    </row>
    <row r="47" spans="1:17" x14ac:dyDescent="0.45">
      <c r="A47" s="33" t="str">
        <f>IF($B47="","",COUNTA($B$6:$B47))</f>
        <v/>
      </c>
      <c r="B47" s="34"/>
      <c r="C47" s="34"/>
      <c r="D47" s="34"/>
      <c r="E47" s="34"/>
      <c r="F47" s="34"/>
      <c r="G47" s="34"/>
      <c r="H47" s="34"/>
      <c r="I47" s="34"/>
      <c r="J47" s="34"/>
      <c r="K47" s="34"/>
      <c r="L47" s="34"/>
      <c r="M47" s="36" t="str">
        <f t="shared" si="4"/>
        <v/>
      </c>
      <c r="N47" s="37" t="str">
        <f t="shared" si="5"/>
        <v/>
      </c>
      <c r="O47" s="38" t="str">
        <f t="shared" si="6"/>
        <v/>
      </c>
      <c r="P47" s="39"/>
      <c r="Q47" s="40" t="str">
        <f t="shared" ca="1" si="7"/>
        <v/>
      </c>
    </row>
    <row r="48" spans="1:17" x14ac:dyDescent="0.45">
      <c r="A48" s="33" t="str">
        <f>IF($B48="","",COUNTA($B$6:$B48))</f>
        <v/>
      </c>
      <c r="B48" s="34"/>
      <c r="C48" s="34"/>
      <c r="D48" s="34"/>
      <c r="E48" s="34"/>
      <c r="F48" s="34"/>
      <c r="G48" s="34"/>
      <c r="H48" s="34"/>
      <c r="I48" s="34"/>
      <c r="J48" s="34"/>
      <c r="K48" s="34"/>
      <c r="L48" s="34"/>
      <c r="M48" s="36" t="str">
        <f t="shared" si="4"/>
        <v/>
      </c>
      <c r="N48" s="37" t="str">
        <f t="shared" si="5"/>
        <v/>
      </c>
      <c r="O48" s="38" t="str">
        <f t="shared" si="6"/>
        <v/>
      </c>
      <c r="P48" s="39"/>
      <c r="Q48" s="40" t="str">
        <f t="shared" ca="1" si="7"/>
        <v/>
      </c>
    </row>
    <row r="49" spans="1:17" x14ac:dyDescent="0.45">
      <c r="A49" s="33" t="str">
        <f>IF($B49="","",COUNTA($B$6:$B49))</f>
        <v/>
      </c>
      <c r="B49" s="34"/>
      <c r="C49" s="34"/>
      <c r="D49" s="34"/>
      <c r="E49" s="34"/>
      <c r="F49" s="34"/>
      <c r="G49" s="34"/>
      <c r="H49" s="34"/>
      <c r="I49" s="34"/>
      <c r="J49" s="34"/>
      <c r="K49" s="34"/>
      <c r="L49" s="34"/>
      <c r="M49" s="36" t="str">
        <f t="shared" si="4"/>
        <v/>
      </c>
      <c r="N49" s="37" t="str">
        <f t="shared" si="5"/>
        <v/>
      </c>
      <c r="O49" s="38" t="str">
        <f t="shared" si="6"/>
        <v/>
      </c>
      <c r="P49" s="39"/>
      <c r="Q49" s="40" t="str">
        <f t="shared" ca="1" si="7"/>
        <v/>
      </c>
    </row>
    <row r="50" spans="1:17" x14ac:dyDescent="0.45">
      <c r="A50" s="33" t="str">
        <f>IF($B50="","",COUNTA($B$6:$B50))</f>
        <v/>
      </c>
      <c r="B50" s="34"/>
      <c r="C50" s="34"/>
      <c r="D50" s="34"/>
      <c r="E50" s="34"/>
      <c r="F50" s="34"/>
      <c r="G50" s="34"/>
      <c r="H50" s="34"/>
      <c r="I50" s="34"/>
      <c r="J50" s="34"/>
      <c r="K50" s="34"/>
      <c r="L50" s="34"/>
      <c r="M50" s="36" t="str">
        <f t="shared" si="4"/>
        <v/>
      </c>
      <c r="N50" s="37" t="str">
        <f t="shared" si="5"/>
        <v/>
      </c>
      <c r="O50" s="38" t="str">
        <f t="shared" si="6"/>
        <v/>
      </c>
      <c r="P50" s="39"/>
      <c r="Q50" s="40" t="str">
        <f t="shared" ca="1" si="7"/>
        <v/>
      </c>
    </row>
    <row r="51" spans="1:17" x14ac:dyDescent="0.45">
      <c r="A51" s="33" t="str">
        <f>IF($B51="","",COUNTA($B$6:$B51))</f>
        <v/>
      </c>
      <c r="B51" s="34"/>
      <c r="C51" s="34"/>
      <c r="D51" s="34"/>
      <c r="E51" s="34"/>
      <c r="F51" s="34"/>
      <c r="G51" s="34"/>
      <c r="H51" s="34"/>
      <c r="I51" s="34"/>
      <c r="J51" s="34"/>
      <c r="K51" s="34"/>
      <c r="L51" s="34"/>
      <c r="M51" s="36" t="str">
        <f t="shared" si="4"/>
        <v/>
      </c>
      <c r="N51" s="37" t="str">
        <f t="shared" si="5"/>
        <v/>
      </c>
      <c r="O51" s="38" t="str">
        <f t="shared" si="6"/>
        <v/>
      </c>
      <c r="P51" s="39"/>
      <c r="Q51" s="40" t="str">
        <f t="shared" ca="1" si="7"/>
        <v/>
      </c>
    </row>
    <row r="52" spans="1:17" x14ac:dyDescent="0.45">
      <c r="A52" s="33" t="str">
        <f>IF($B52="","",COUNTA($B$6:$B52))</f>
        <v/>
      </c>
      <c r="B52" s="34"/>
      <c r="C52" s="34"/>
      <c r="D52" s="34"/>
      <c r="E52" s="34"/>
      <c r="F52" s="34"/>
      <c r="G52" s="34"/>
      <c r="H52" s="34"/>
      <c r="I52" s="34"/>
      <c r="J52" s="34"/>
      <c r="K52" s="34"/>
      <c r="L52" s="34"/>
      <c r="M52" s="36" t="str">
        <f t="shared" si="4"/>
        <v/>
      </c>
      <c r="N52" s="37" t="str">
        <f t="shared" si="5"/>
        <v/>
      </c>
      <c r="O52" s="38" t="str">
        <f t="shared" si="6"/>
        <v/>
      </c>
      <c r="P52" s="39"/>
      <c r="Q52" s="40" t="str">
        <f t="shared" ca="1" si="7"/>
        <v/>
      </c>
    </row>
    <row r="53" spans="1:17" x14ac:dyDescent="0.45">
      <c r="A53" s="33" t="str">
        <f>IF($B53="","",COUNTA($B$6:$B53))</f>
        <v/>
      </c>
      <c r="B53" s="34"/>
      <c r="C53" s="34"/>
      <c r="D53" s="34"/>
      <c r="E53" s="34"/>
      <c r="F53" s="34"/>
      <c r="G53" s="34"/>
      <c r="H53" s="34"/>
      <c r="I53" s="34"/>
      <c r="J53" s="34"/>
      <c r="K53" s="34"/>
      <c r="L53" s="34"/>
      <c r="M53" s="36" t="str">
        <f t="shared" si="4"/>
        <v/>
      </c>
      <c r="N53" s="37" t="str">
        <f t="shared" si="5"/>
        <v/>
      </c>
      <c r="O53" s="38" t="str">
        <f t="shared" si="6"/>
        <v/>
      </c>
      <c r="P53" s="39"/>
      <c r="Q53" s="40" t="str">
        <f t="shared" ca="1" si="7"/>
        <v/>
      </c>
    </row>
    <row r="54" spans="1:17" x14ac:dyDescent="0.45">
      <c r="A54" s="33" t="str">
        <f>IF($B54="","",COUNTA($B$6:$B54))</f>
        <v/>
      </c>
      <c r="B54" s="34"/>
      <c r="C54" s="34"/>
      <c r="D54" s="34"/>
      <c r="E54" s="34"/>
      <c r="F54" s="34"/>
      <c r="G54" s="34"/>
      <c r="H54" s="34"/>
      <c r="I54" s="34"/>
      <c r="J54" s="34"/>
      <c r="K54" s="34"/>
      <c r="L54" s="34"/>
      <c r="M54" s="36" t="str">
        <f t="shared" si="4"/>
        <v/>
      </c>
      <c r="N54" s="37" t="str">
        <f t="shared" si="5"/>
        <v/>
      </c>
      <c r="O54" s="38" t="str">
        <f t="shared" si="6"/>
        <v/>
      </c>
      <c r="P54" s="39"/>
      <c r="Q54" s="40" t="str">
        <f t="shared" ca="1" si="7"/>
        <v/>
      </c>
    </row>
    <row r="55" spans="1:17" x14ac:dyDescent="0.45">
      <c r="A55" s="33" t="str">
        <f>IF($B55="","",COUNTA($B$6:$B55))</f>
        <v/>
      </c>
      <c r="B55" s="34"/>
      <c r="C55" s="34"/>
      <c r="D55" s="34"/>
      <c r="E55" s="34"/>
      <c r="F55" s="34"/>
      <c r="G55" s="34"/>
      <c r="H55" s="34"/>
      <c r="I55" s="34"/>
      <c r="J55" s="34"/>
      <c r="K55" s="34"/>
      <c r="L55" s="34"/>
      <c r="M55" s="36" t="str">
        <f t="shared" si="4"/>
        <v/>
      </c>
      <c r="N55" s="37" t="str">
        <f t="shared" si="5"/>
        <v/>
      </c>
      <c r="O55" s="38" t="str">
        <f t="shared" si="6"/>
        <v/>
      </c>
      <c r="P55" s="39"/>
      <c r="Q55" s="40" t="str">
        <f t="shared" ca="1" si="7"/>
        <v/>
      </c>
    </row>
    <row r="56" spans="1:17" x14ac:dyDescent="0.45">
      <c r="A56" s="33" t="str">
        <f>IF($B56="","",COUNTA($B$6:$B56))</f>
        <v/>
      </c>
      <c r="B56" s="34"/>
      <c r="C56" s="34"/>
      <c r="D56" s="34"/>
      <c r="E56" s="34"/>
      <c r="F56" s="34"/>
      <c r="G56" s="34"/>
      <c r="H56" s="34"/>
      <c r="I56" s="34"/>
      <c r="J56" s="34"/>
      <c r="K56" s="34"/>
      <c r="L56" s="34"/>
      <c r="M56" s="36" t="str">
        <f t="shared" si="4"/>
        <v/>
      </c>
      <c r="N56" s="37" t="str">
        <f t="shared" si="5"/>
        <v/>
      </c>
      <c r="O56" s="38" t="str">
        <f t="shared" si="6"/>
        <v/>
      </c>
      <c r="P56" s="39"/>
      <c r="Q56" s="40" t="str">
        <f t="shared" ca="1" si="7"/>
        <v/>
      </c>
    </row>
    <row r="57" spans="1:17" x14ac:dyDescent="0.45">
      <c r="A57" s="33" t="str">
        <f>IF($B57="","",COUNTA($B$6:$B57))</f>
        <v/>
      </c>
      <c r="B57" s="34"/>
      <c r="C57" s="34"/>
      <c r="D57" s="34"/>
      <c r="E57" s="34"/>
      <c r="F57" s="34"/>
      <c r="G57" s="34"/>
      <c r="H57" s="34"/>
      <c r="I57" s="34"/>
      <c r="J57" s="34"/>
      <c r="K57" s="34"/>
      <c r="L57" s="34"/>
      <c r="M57" s="36" t="str">
        <f t="shared" si="4"/>
        <v/>
      </c>
      <c r="N57" s="37" t="str">
        <f t="shared" si="5"/>
        <v/>
      </c>
      <c r="O57" s="38" t="str">
        <f t="shared" si="6"/>
        <v/>
      </c>
      <c r="P57" s="39"/>
      <c r="Q57" s="40" t="str">
        <f t="shared" ca="1" si="7"/>
        <v/>
      </c>
    </row>
    <row r="58" spans="1:17" x14ac:dyDescent="0.45">
      <c r="A58" s="33" t="str">
        <f>IF($B58="","",COUNTA($B$6:$B58))</f>
        <v/>
      </c>
      <c r="B58" s="34"/>
      <c r="C58" s="34"/>
      <c r="D58" s="34"/>
      <c r="E58" s="34"/>
      <c r="F58" s="34"/>
      <c r="G58" s="34"/>
      <c r="H58" s="34"/>
      <c r="I58" s="34"/>
      <c r="J58" s="34"/>
      <c r="K58" s="34"/>
      <c r="L58" s="34"/>
      <c r="M58" s="36" t="str">
        <f t="shared" si="4"/>
        <v/>
      </c>
      <c r="N58" s="37" t="str">
        <f t="shared" si="5"/>
        <v/>
      </c>
      <c r="O58" s="38" t="str">
        <f t="shared" si="6"/>
        <v/>
      </c>
      <c r="P58" s="39"/>
      <c r="Q58" s="40" t="str">
        <f t="shared" ca="1" si="7"/>
        <v/>
      </c>
    </row>
    <row r="59" spans="1:17" x14ac:dyDescent="0.45">
      <c r="A59" s="33" t="str">
        <f>IF($B59="","",COUNTA($B$6:$B59))</f>
        <v/>
      </c>
      <c r="B59" s="34"/>
      <c r="C59" s="34"/>
      <c r="D59" s="34"/>
      <c r="E59" s="34"/>
      <c r="F59" s="34"/>
      <c r="G59" s="34"/>
      <c r="H59" s="34"/>
      <c r="I59" s="34"/>
      <c r="J59" s="34"/>
      <c r="K59" s="34"/>
      <c r="L59" s="34"/>
      <c r="M59" s="36" t="str">
        <f t="shared" si="4"/>
        <v/>
      </c>
      <c r="N59" s="37" t="str">
        <f t="shared" si="5"/>
        <v/>
      </c>
      <c r="O59" s="38" t="str">
        <f t="shared" si="6"/>
        <v/>
      </c>
      <c r="P59" s="39"/>
      <c r="Q59" s="40" t="str">
        <f t="shared" ca="1" si="7"/>
        <v/>
      </c>
    </row>
    <row r="60" spans="1:17" x14ac:dyDescent="0.45">
      <c r="A60" s="33" t="str">
        <f>IF($B60="","",COUNTA($B$6:$B60))</f>
        <v/>
      </c>
      <c r="B60" s="34"/>
      <c r="C60" s="34"/>
      <c r="D60" s="34"/>
      <c r="E60" s="34"/>
      <c r="F60" s="34"/>
      <c r="G60" s="34"/>
      <c r="H60" s="34"/>
      <c r="I60" s="34"/>
      <c r="J60" s="34"/>
      <c r="K60" s="34"/>
      <c r="L60" s="34"/>
      <c r="M60" s="36" t="str">
        <f t="shared" si="4"/>
        <v/>
      </c>
      <c r="N60" s="37" t="str">
        <f t="shared" si="5"/>
        <v/>
      </c>
      <c r="O60" s="38" t="str">
        <f t="shared" si="6"/>
        <v/>
      </c>
      <c r="P60" s="39"/>
      <c r="Q60" s="40" t="str">
        <f t="shared" ca="1" si="7"/>
        <v/>
      </c>
    </row>
    <row r="61" spans="1:17" x14ac:dyDescent="0.45">
      <c r="A61" s="33" t="str">
        <f>IF($B61="","",COUNTA($B$6:$B61))</f>
        <v/>
      </c>
      <c r="B61" s="34"/>
      <c r="C61" s="34"/>
      <c r="D61" s="34"/>
      <c r="E61" s="34"/>
      <c r="F61" s="34"/>
      <c r="G61" s="34"/>
      <c r="H61" s="34"/>
      <c r="I61" s="34"/>
      <c r="J61" s="34"/>
      <c r="K61" s="34"/>
      <c r="L61" s="34"/>
      <c r="M61" s="36" t="str">
        <f t="shared" si="4"/>
        <v/>
      </c>
      <c r="N61" s="37" t="str">
        <f t="shared" si="5"/>
        <v/>
      </c>
      <c r="O61" s="38" t="str">
        <f t="shared" si="6"/>
        <v/>
      </c>
      <c r="P61" s="39"/>
      <c r="Q61" s="40" t="str">
        <f t="shared" ca="1" si="7"/>
        <v/>
      </c>
    </row>
    <row r="62" spans="1:17" x14ac:dyDescent="0.45">
      <c r="A62" s="33" t="str">
        <f>IF($B62="","",COUNTA($B$6:$B62))</f>
        <v/>
      </c>
      <c r="B62" s="34"/>
      <c r="C62" s="34"/>
      <c r="D62" s="34"/>
      <c r="E62" s="34"/>
      <c r="F62" s="34"/>
      <c r="G62" s="34"/>
      <c r="H62" s="34"/>
      <c r="I62" s="34"/>
      <c r="J62" s="34"/>
      <c r="K62" s="34"/>
      <c r="L62" s="34"/>
      <c r="M62" s="36" t="str">
        <f t="shared" si="4"/>
        <v/>
      </c>
      <c r="N62" s="37" t="str">
        <f t="shared" si="5"/>
        <v/>
      </c>
      <c r="O62" s="38" t="str">
        <f t="shared" si="6"/>
        <v/>
      </c>
      <c r="P62" s="39"/>
      <c r="Q62" s="40" t="str">
        <f t="shared" ca="1" si="7"/>
        <v/>
      </c>
    </row>
    <row r="63" spans="1:17" x14ac:dyDescent="0.45">
      <c r="A63" s="33" t="str">
        <f>IF($B63="","",COUNTA($B$6:$B63))</f>
        <v/>
      </c>
      <c r="B63" s="34"/>
      <c r="C63" s="34"/>
      <c r="D63" s="34"/>
      <c r="E63" s="34"/>
      <c r="F63" s="34"/>
      <c r="G63" s="34"/>
      <c r="H63" s="34"/>
      <c r="I63" s="34"/>
      <c r="J63" s="34"/>
      <c r="K63" s="34"/>
      <c r="L63" s="34"/>
      <c r="M63" s="36" t="str">
        <f t="shared" si="4"/>
        <v/>
      </c>
      <c r="N63" s="37" t="str">
        <f t="shared" si="5"/>
        <v/>
      </c>
      <c r="O63" s="38" t="str">
        <f t="shared" si="6"/>
        <v/>
      </c>
      <c r="P63" s="39"/>
      <c r="Q63" s="40" t="str">
        <f t="shared" ca="1" si="7"/>
        <v/>
      </c>
    </row>
    <row r="64" spans="1:17" x14ac:dyDescent="0.45">
      <c r="A64" s="33" t="str">
        <f>IF($B64="","",COUNTA($B$6:$B64))</f>
        <v/>
      </c>
      <c r="B64" s="34"/>
      <c r="C64" s="34"/>
      <c r="D64" s="34"/>
      <c r="E64" s="34"/>
      <c r="F64" s="34"/>
      <c r="G64" s="34"/>
      <c r="H64" s="34"/>
      <c r="I64" s="34"/>
      <c r="J64" s="34"/>
      <c r="K64" s="34"/>
      <c r="L64" s="34"/>
      <c r="M64" s="36" t="str">
        <f t="shared" si="4"/>
        <v/>
      </c>
      <c r="N64" s="37" t="str">
        <f t="shared" si="5"/>
        <v/>
      </c>
      <c r="O64" s="38" t="str">
        <f t="shared" si="6"/>
        <v/>
      </c>
      <c r="P64" s="39"/>
      <c r="Q64" s="40" t="str">
        <f t="shared" ca="1" si="7"/>
        <v/>
      </c>
    </row>
    <row r="65" spans="1:17" x14ac:dyDescent="0.45">
      <c r="A65" s="33" t="str">
        <f>IF($B65="","",COUNTA($B$6:$B65))</f>
        <v/>
      </c>
      <c r="B65" s="34"/>
      <c r="C65" s="34"/>
      <c r="D65" s="34"/>
      <c r="E65" s="34"/>
      <c r="F65" s="34"/>
      <c r="G65" s="34"/>
      <c r="H65" s="34"/>
      <c r="I65" s="34"/>
      <c r="J65" s="34"/>
      <c r="K65" s="34"/>
      <c r="L65" s="34"/>
      <c r="M65" s="36" t="str">
        <f t="shared" si="4"/>
        <v/>
      </c>
      <c r="N65" s="37" t="str">
        <f t="shared" si="5"/>
        <v/>
      </c>
      <c r="O65" s="38" t="str">
        <f t="shared" si="6"/>
        <v/>
      </c>
      <c r="P65" s="39"/>
      <c r="Q65" s="40" t="str">
        <f t="shared" ca="1" si="7"/>
        <v/>
      </c>
    </row>
  </sheetData>
  <autoFilter ref="A5:Q65" xr:uid="{00000000-0009-0000-0000-000002000000}"/>
  <mergeCells count="3">
    <mergeCell ref="A1:Q1"/>
    <mergeCell ref="A2:Q2"/>
    <mergeCell ref="A3:Q3"/>
  </mergeCells>
  <conditionalFormatting sqref="M6:M65">
    <cfRule type="expression" dxfId="42" priority="2">
      <formula>LEFT($M6,9)="High-Risk"</formula>
    </cfRule>
    <cfRule type="expression" dxfId="41" priority="3">
      <formula>LEFT($M6,10)="PROHIBITED"</formula>
    </cfRule>
  </conditionalFormatting>
  <conditionalFormatting sqref="Q6:Q65">
    <cfRule type="cellIs" dxfId="40" priority="4" operator="equal">
      <formula>"OVERDUE"</formula>
    </cfRule>
    <cfRule type="cellIs" dxfId="39" priority="5" operator="equal">
      <formula>"Due soon"</formula>
    </cfRule>
    <cfRule type="cellIs" dxfId="38" priority="6" operator="equal">
      <formula>"On track"</formula>
    </cfRule>
  </conditionalFormatting>
  <dataValidations count="5">
    <dataValidation type="list" allowBlank="1" sqref="E6:E65" xr:uid="{00000000-0002-0000-0200-000000000000}">
      <formula1>"Building,Buying,Both"</formula1>
      <formula2>0</formula2>
    </dataValidation>
    <dataValidation type="list" allowBlank="1" sqref="F6:F65 H6:I65 K6:L65" xr:uid="{00000000-0002-0000-0200-000001000000}">
      <formula1>"Yes,No"</formula1>
      <formula2>0</formula2>
    </dataValidation>
    <dataValidation type="list" allowBlank="1" sqref="G6:G65" xr:uid="{00000000-0002-0000-0200-000002000000}">
      <formula1>Annex3List</formula1>
      <formula2>0</formula2>
    </dataValidation>
    <dataValidation type="list" allowBlank="1" sqref="J6:J65" xr:uid="{00000000-0002-0000-0200-000003000000}">
      <formula1>"None,Life sciences / GxP,Financial services,Healthcare,Critical infrastructure,Public sector,Other regulated"</formula1>
      <formula2>0</formula2>
    </dataValidation>
    <dataValidation type="list" allowBlank="1" sqref="D6:D65" xr:uid="{00000000-0002-0000-0200-000004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8641C"/>
    <pageSetUpPr fitToPage="1"/>
  </sheetPr>
  <dimension ref="A1:J26"/>
  <sheetViews>
    <sheetView showGridLines="0" zoomScaleNormal="100" workbookViewId="0">
      <pane ySplit="5" topLeftCell="A6" activePane="bottomLeft" state="frozen"/>
      <selection pane="bottomLeft"/>
    </sheetView>
  </sheetViews>
  <sheetFormatPr defaultColWidth="8.6640625" defaultRowHeight="14.25" x14ac:dyDescent="0.45"/>
  <cols>
    <col min="1" max="1" width="18" customWidth="1"/>
    <col min="2" max="2" width="30" customWidth="1"/>
    <col min="3" max="3" width="13" customWidth="1"/>
    <col min="4" max="4" width="32" customWidth="1"/>
    <col min="5" max="5" width="26" customWidth="1"/>
    <col min="6" max="6" width="24" customWidth="1"/>
    <col min="7" max="7" width="40" customWidth="1"/>
    <col min="8" max="8" width="34" customWidth="1"/>
    <col min="9" max="9" width="14" customWidth="1"/>
    <col min="10" max="10" width="13" customWidth="1"/>
  </cols>
  <sheetData>
    <row r="1" spans="1:10" ht="30" customHeight="1" x14ac:dyDescent="0.45">
      <c r="A1" s="122" t="s">
        <v>160</v>
      </c>
      <c r="B1" s="122"/>
      <c r="C1" s="122"/>
      <c r="D1" s="122"/>
      <c r="E1" s="122"/>
      <c r="F1" s="122"/>
      <c r="G1" s="122"/>
      <c r="H1" s="122"/>
      <c r="I1" s="122"/>
    </row>
    <row r="2" spans="1:10" ht="18" customHeight="1" x14ac:dyDescent="0.45">
      <c r="A2" s="123" t="s">
        <v>161</v>
      </c>
      <c r="B2" s="123"/>
      <c r="C2" s="123"/>
      <c r="D2" s="123"/>
      <c r="E2" s="123"/>
      <c r="F2" s="123"/>
      <c r="G2" s="123"/>
      <c r="H2" s="123"/>
      <c r="I2" s="123"/>
    </row>
    <row r="3" spans="1:10" ht="21.75" customHeight="1" x14ac:dyDescent="0.45">
      <c r="A3" s="124" t="s">
        <v>162</v>
      </c>
      <c r="B3" s="124"/>
      <c r="C3" s="124"/>
      <c r="D3" s="124"/>
      <c r="E3" s="124"/>
      <c r="F3" s="124"/>
      <c r="G3" s="124"/>
      <c r="H3" s="124"/>
      <c r="I3" s="124"/>
    </row>
    <row r="5" spans="1:10" ht="33.75" customHeight="1" x14ac:dyDescent="0.45">
      <c r="A5" s="32" t="s">
        <v>163</v>
      </c>
      <c r="B5" s="32" t="s">
        <v>164</v>
      </c>
      <c r="C5" s="32" t="s">
        <v>165</v>
      </c>
      <c r="D5" s="32" t="s">
        <v>166</v>
      </c>
      <c r="E5" s="32" t="s">
        <v>167</v>
      </c>
      <c r="F5" s="32" t="s">
        <v>168</v>
      </c>
      <c r="G5" s="32" t="s">
        <v>169</v>
      </c>
      <c r="H5" s="32" t="s">
        <v>170</v>
      </c>
      <c r="I5" s="32" t="s">
        <v>171</v>
      </c>
      <c r="J5" s="32" t="s">
        <v>172</v>
      </c>
    </row>
    <row r="6" spans="1:10" ht="63.75" customHeight="1" x14ac:dyDescent="0.45">
      <c r="A6" s="41" t="s">
        <v>173</v>
      </c>
      <c r="B6" s="42" t="s">
        <v>174</v>
      </c>
      <c r="C6" s="43" t="s">
        <v>175</v>
      </c>
      <c r="D6" s="42" t="s">
        <v>176</v>
      </c>
      <c r="E6" s="42" t="s">
        <v>177</v>
      </c>
      <c r="F6" s="44" t="s">
        <v>178</v>
      </c>
      <c r="G6" s="42" t="s">
        <v>179</v>
      </c>
      <c r="H6" s="45" t="s">
        <v>180</v>
      </c>
      <c r="I6" s="46"/>
      <c r="J6" s="47" t="str">
        <f t="shared" ref="J6:J24" si="0">IF($I6="","",IF($I6="Yes",IF($C6="Proposed","MONITOR","APPLIES"),"Not in scope"))</f>
        <v/>
      </c>
    </row>
    <row r="7" spans="1:10" ht="63.75" customHeight="1" x14ac:dyDescent="0.45">
      <c r="A7" s="41" t="s">
        <v>181</v>
      </c>
      <c r="B7" s="48" t="s">
        <v>182</v>
      </c>
      <c r="C7" s="49" t="s">
        <v>183</v>
      </c>
      <c r="D7" s="48" t="s">
        <v>184</v>
      </c>
      <c r="E7" s="48" t="s">
        <v>185</v>
      </c>
      <c r="F7" s="50" t="s">
        <v>186</v>
      </c>
      <c r="G7" s="48" t="s">
        <v>187</v>
      </c>
      <c r="H7" s="51" t="s">
        <v>188</v>
      </c>
      <c r="I7" s="46"/>
      <c r="J7" s="47" t="str">
        <f t="shared" si="0"/>
        <v/>
      </c>
    </row>
    <row r="8" spans="1:10" ht="63.75" customHeight="1" x14ac:dyDescent="0.45">
      <c r="A8" s="41" t="s">
        <v>189</v>
      </c>
      <c r="B8" s="42" t="s">
        <v>190</v>
      </c>
      <c r="C8" s="43" t="s">
        <v>191</v>
      </c>
      <c r="D8" s="42" t="s">
        <v>192</v>
      </c>
      <c r="E8" s="42" t="s">
        <v>193</v>
      </c>
      <c r="F8" s="44" t="s">
        <v>194</v>
      </c>
      <c r="G8" s="42" t="s">
        <v>195</v>
      </c>
      <c r="H8" s="45" t="s">
        <v>196</v>
      </c>
      <c r="I8" s="46"/>
      <c r="J8" s="47" t="str">
        <f t="shared" si="0"/>
        <v/>
      </c>
    </row>
    <row r="9" spans="1:10" ht="63.75" customHeight="1" x14ac:dyDescent="0.45">
      <c r="A9" s="41" t="s">
        <v>197</v>
      </c>
      <c r="B9" s="48" t="s">
        <v>198</v>
      </c>
      <c r="C9" s="49" t="s">
        <v>199</v>
      </c>
      <c r="D9" s="48" t="s">
        <v>200</v>
      </c>
      <c r="E9" s="48" t="s">
        <v>201</v>
      </c>
      <c r="F9" s="50" t="s">
        <v>202</v>
      </c>
      <c r="G9" s="48" t="s">
        <v>203</v>
      </c>
      <c r="H9" s="51" t="s">
        <v>204</v>
      </c>
      <c r="I9" s="46"/>
      <c r="J9" s="47" t="str">
        <f t="shared" si="0"/>
        <v/>
      </c>
    </row>
    <row r="10" spans="1:10" ht="63.75" customHeight="1" x14ac:dyDescent="0.45">
      <c r="A10" s="41" t="s">
        <v>205</v>
      </c>
      <c r="B10" s="42" t="s">
        <v>206</v>
      </c>
      <c r="C10" s="43" t="s">
        <v>175</v>
      </c>
      <c r="D10" s="42" t="s">
        <v>207</v>
      </c>
      <c r="E10" s="42" t="s">
        <v>208</v>
      </c>
      <c r="F10" s="44" t="s">
        <v>209</v>
      </c>
      <c r="G10" s="42" t="s">
        <v>210</v>
      </c>
      <c r="H10" s="45" t="s">
        <v>211</v>
      </c>
      <c r="I10" s="46"/>
      <c r="J10" s="47" t="str">
        <f t="shared" si="0"/>
        <v/>
      </c>
    </row>
    <row r="11" spans="1:10" ht="63.75" customHeight="1" x14ac:dyDescent="0.45">
      <c r="A11" s="41" t="s">
        <v>212</v>
      </c>
      <c r="B11" s="48" t="s">
        <v>213</v>
      </c>
      <c r="C11" s="49" t="s">
        <v>175</v>
      </c>
      <c r="D11" s="48" t="s">
        <v>214</v>
      </c>
      <c r="E11" s="48" t="s">
        <v>215</v>
      </c>
      <c r="F11" s="50" t="s">
        <v>216</v>
      </c>
      <c r="G11" s="48" t="s">
        <v>217</v>
      </c>
      <c r="H11" s="51" t="s">
        <v>218</v>
      </c>
      <c r="I11" s="46"/>
      <c r="J11" s="47" t="str">
        <f t="shared" si="0"/>
        <v/>
      </c>
    </row>
    <row r="12" spans="1:10" ht="63.75" customHeight="1" x14ac:dyDescent="0.45">
      <c r="A12" s="41" t="s">
        <v>219</v>
      </c>
      <c r="B12" s="42" t="s">
        <v>220</v>
      </c>
      <c r="C12" s="43" t="s">
        <v>175</v>
      </c>
      <c r="D12" s="42" t="s">
        <v>221</v>
      </c>
      <c r="E12" s="42" t="s">
        <v>222</v>
      </c>
      <c r="F12" s="44" t="s">
        <v>223</v>
      </c>
      <c r="G12" s="42" t="s">
        <v>224</v>
      </c>
      <c r="H12" s="45" t="s">
        <v>225</v>
      </c>
      <c r="I12" s="46"/>
      <c r="J12" s="47" t="str">
        <f t="shared" si="0"/>
        <v/>
      </c>
    </row>
    <row r="13" spans="1:10" ht="63.75" customHeight="1" x14ac:dyDescent="0.45">
      <c r="A13" s="41" t="s">
        <v>226</v>
      </c>
      <c r="B13" s="48" t="s">
        <v>227</v>
      </c>
      <c r="C13" s="49" t="s">
        <v>175</v>
      </c>
      <c r="D13" s="48" t="s">
        <v>228</v>
      </c>
      <c r="E13" s="48" t="s">
        <v>229</v>
      </c>
      <c r="F13" s="50" t="s">
        <v>230</v>
      </c>
      <c r="G13" s="48" t="s">
        <v>231</v>
      </c>
      <c r="H13" s="51" t="s">
        <v>232</v>
      </c>
      <c r="I13" s="46"/>
      <c r="J13" s="47" t="str">
        <f t="shared" si="0"/>
        <v/>
      </c>
    </row>
    <row r="14" spans="1:10" ht="63.75" customHeight="1" x14ac:dyDescent="0.45">
      <c r="A14" s="41" t="s">
        <v>233</v>
      </c>
      <c r="B14" s="42" t="s">
        <v>234</v>
      </c>
      <c r="C14" s="43" t="s">
        <v>175</v>
      </c>
      <c r="D14" s="42" t="s">
        <v>235</v>
      </c>
      <c r="E14" s="42" t="s">
        <v>236</v>
      </c>
      <c r="F14" s="44" t="s">
        <v>237</v>
      </c>
      <c r="G14" s="42" t="s">
        <v>238</v>
      </c>
      <c r="H14" s="45" t="s">
        <v>239</v>
      </c>
      <c r="I14" s="46"/>
      <c r="J14" s="47" t="str">
        <f t="shared" si="0"/>
        <v/>
      </c>
    </row>
    <row r="15" spans="1:10" ht="63.75" customHeight="1" x14ac:dyDescent="0.45">
      <c r="A15" s="41" t="s">
        <v>240</v>
      </c>
      <c r="B15" s="48" t="s">
        <v>241</v>
      </c>
      <c r="C15" s="49" t="s">
        <v>175</v>
      </c>
      <c r="D15" s="48" t="s">
        <v>242</v>
      </c>
      <c r="E15" s="48" t="s">
        <v>243</v>
      </c>
      <c r="F15" s="50" t="s">
        <v>244</v>
      </c>
      <c r="G15" s="48" t="s">
        <v>245</v>
      </c>
      <c r="H15" s="51" t="s">
        <v>246</v>
      </c>
      <c r="I15" s="46"/>
      <c r="J15" s="47" t="str">
        <f t="shared" si="0"/>
        <v/>
      </c>
    </row>
    <row r="16" spans="1:10" ht="63.75" customHeight="1" x14ac:dyDescent="0.45">
      <c r="A16" s="41" t="s">
        <v>247</v>
      </c>
      <c r="B16" s="42" t="s">
        <v>248</v>
      </c>
      <c r="C16" s="43" t="s">
        <v>249</v>
      </c>
      <c r="D16" s="42" t="s">
        <v>250</v>
      </c>
      <c r="E16" s="42" t="s">
        <v>251</v>
      </c>
      <c r="F16" s="44" t="s">
        <v>252</v>
      </c>
      <c r="G16" s="42" t="s">
        <v>253</v>
      </c>
      <c r="H16" s="45" t="s">
        <v>254</v>
      </c>
      <c r="I16" s="46"/>
      <c r="J16" s="47" t="str">
        <f t="shared" si="0"/>
        <v/>
      </c>
    </row>
    <row r="17" spans="1:10" ht="63.75" customHeight="1" x14ac:dyDescent="0.45">
      <c r="A17" s="41" t="s">
        <v>255</v>
      </c>
      <c r="B17" s="48" t="s">
        <v>256</v>
      </c>
      <c r="C17" s="49" t="s">
        <v>257</v>
      </c>
      <c r="D17" s="48" t="s">
        <v>258</v>
      </c>
      <c r="E17" s="48" t="s">
        <v>259</v>
      </c>
      <c r="F17" s="50" t="s">
        <v>260</v>
      </c>
      <c r="G17" s="48" t="s">
        <v>261</v>
      </c>
      <c r="H17" s="51" t="s">
        <v>262</v>
      </c>
      <c r="I17" s="46"/>
      <c r="J17" s="47" t="str">
        <f t="shared" si="0"/>
        <v/>
      </c>
    </row>
    <row r="18" spans="1:10" ht="63.75" customHeight="1" x14ac:dyDescent="0.45">
      <c r="A18" s="41" t="s">
        <v>263</v>
      </c>
      <c r="B18" s="42" t="s">
        <v>264</v>
      </c>
      <c r="C18" s="43" t="s">
        <v>175</v>
      </c>
      <c r="D18" s="42" t="s">
        <v>265</v>
      </c>
      <c r="E18" s="42" t="s">
        <v>266</v>
      </c>
      <c r="F18" s="44" t="s">
        <v>267</v>
      </c>
      <c r="G18" s="42" t="s">
        <v>268</v>
      </c>
      <c r="H18" s="45" t="s">
        <v>269</v>
      </c>
      <c r="I18" s="46"/>
      <c r="J18" s="47" t="str">
        <f t="shared" si="0"/>
        <v/>
      </c>
    </row>
    <row r="19" spans="1:10" ht="63.75" customHeight="1" x14ac:dyDescent="0.45">
      <c r="A19" s="41" t="s">
        <v>270</v>
      </c>
      <c r="B19" s="48" t="s">
        <v>271</v>
      </c>
      <c r="C19" s="49" t="s">
        <v>175</v>
      </c>
      <c r="D19" s="48" t="s">
        <v>272</v>
      </c>
      <c r="E19" s="48" t="s">
        <v>273</v>
      </c>
      <c r="F19" s="50" t="s">
        <v>274</v>
      </c>
      <c r="G19" s="48" t="s">
        <v>275</v>
      </c>
      <c r="H19" s="51" t="s">
        <v>276</v>
      </c>
      <c r="I19" s="46"/>
      <c r="J19" s="47" t="str">
        <f t="shared" si="0"/>
        <v/>
      </c>
    </row>
    <row r="20" spans="1:10" ht="63.75" customHeight="1" x14ac:dyDescent="0.45">
      <c r="A20" s="41" t="s">
        <v>277</v>
      </c>
      <c r="B20" s="42" t="s">
        <v>278</v>
      </c>
      <c r="C20" s="43" t="s">
        <v>279</v>
      </c>
      <c r="D20" s="42" t="s">
        <v>280</v>
      </c>
      <c r="E20" s="42" t="s">
        <v>281</v>
      </c>
      <c r="F20" s="44" t="s">
        <v>282</v>
      </c>
      <c r="G20" s="42" t="s">
        <v>283</v>
      </c>
      <c r="H20" s="45" t="s">
        <v>284</v>
      </c>
      <c r="I20" s="46"/>
      <c r="J20" s="47" t="str">
        <f t="shared" si="0"/>
        <v/>
      </c>
    </row>
    <row r="21" spans="1:10" ht="63.75" customHeight="1" x14ac:dyDescent="0.45">
      <c r="A21" s="41" t="s">
        <v>285</v>
      </c>
      <c r="B21" s="48" t="s">
        <v>286</v>
      </c>
      <c r="C21" s="49" t="s">
        <v>287</v>
      </c>
      <c r="D21" s="48" t="s">
        <v>288</v>
      </c>
      <c r="E21" s="48" t="s">
        <v>289</v>
      </c>
      <c r="F21" s="50" t="s">
        <v>290</v>
      </c>
      <c r="G21" s="48" t="s">
        <v>291</v>
      </c>
      <c r="H21" s="51" t="s">
        <v>292</v>
      </c>
      <c r="I21" s="46"/>
      <c r="J21" s="47" t="str">
        <f t="shared" si="0"/>
        <v/>
      </c>
    </row>
    <row r="22" spans="1:10" ht="63.75" customHeight="1" x14ac:dyDescent="0.45">
      <c r="A22" s="41" t="s">
        <v>293</v>
      </c>
      <c r="B22" s="42" t="s">
        <v>294</v>
      </c>
      <c r="C22" s="43" t="s">
        <v>295</v>
      </c>
      <c r="D22" s="42" t="s">
        <v>296</v>
      </c>
      <c r="E22" s="42" t="s">
        <v>297</v>
      </c>
      <c r="F22" s="44" t="s">
        <v>298</v>
      </c>
      <c r="G22" s="42" t="s">
        <v>299</v>
      </c>
      <c r="H22" s="45" t="s">
        <v>300</v>
      </c>
      <c r="I22" s="46"/>
      <c r="J22" s="47" t="str">
        <f t="shared" si="0"/>
        <v/>
      </c>
    </row>
    <row r="23" spans="1:10" ht="63.75" customHeight="1" x14ac:dyDescent="0.45">
      <c r="A23" s="41" t="s">
        <v>301</v>
      </c>
      <c r="B23" s="48" t="s">
        <v>302</v>
      </c>
      <c r="C23" s="49" t="s">
        <v>303</v>
      </c>
      <c r="D23" s="48" t="s">
        <v>304</v>
      </c>
      <c r="E23" s="48" t="s">
        <v>305</v>
      </c>
      <c r="F23" s="50" t="s">
        <v>306</v>
      </c>
      <c r="G23" s="48" t="s">
        <v>307</v>
      </c>
      <c r="H23" s="51" t="s">
        <v>308</v>
      </c>
      <c r="I23" s="46"/>
      <c r="J23" s="47" t="str">
        <f t="shared" si="0"/>
        <v/>
      </c>
    </row>
    <row r="24" spans="1:10" ht="63.75" customHeight="1" x14ac:dyDescent="0.45">
      <c r="A24" s="41" t="s">
        <v>309</v>
      </c>
      <c r="B24" s="42" t="s">
        <v>310</v>
      </c>
      <c r="C24" s="43" t="s">
        <v>311</v>
      </c>
      <c r="D24" s="42" t="s">
        <v>312</v>
      </c>
      <c r="E24" s="42" t="s">
        <v>313</v>
      </c>
      <c r="F24" s="44" t="s">
        <v>314</v>
      </c>
      <c r="G24" s="42" t="s">
        <v>315</v>
      </c>
      <c r="H24" s="45" t="s">
        <v>316</v>
      </c>
      <c r="I24" s="46"/>
      <c r="J24" s="47" t="str">
        <f t="shared" si="0"/>
        <v/>
      </c>
    </row>
    <row r="26" spans="1:10" ht="42" customHeight="1" x14ac:dyDescent="0.45">
      <c r="A26" s="125" t="s">
        <v>317</v>
      </c>
      <c r="B26" s="125"/>
      <c r="C26" s="125"/>
      <c r="D26" s="125"/>
      <c r="E26" s="125"/>
      <c r="F26" s="125"/>
      <c r="G26" s="125"/>
      <c r="H26" s="125"/>
      <c r="I26" s="125"/>
      <c r="J26" s="125"/>
    </row>
  </sheetData>
  <autoFilter ref="A5:J24" xr:uid="{00000000-0009-0000-0000-000003000000}"/>
  <mergeCells count="4">
    <mergeCell ref="A1:I1"/>
    <mergeCell ref="A2:I2"/>
    <mergeCell ref="A3:I3"/>
    <mergeCell ref="A26:J26"/>
  </mergeCells>
  <conditionalFormatting sqref="J6:J24">
    <cfRule type="cellIs" dxfId="37" priority="2" operator="equal">
      <formula>"APPLIES"</formula>
    </cfRule>
    <cfRule type="cellIs" dxfId="36" priority="3" operator="equal">
      <formula>"MONITOR"</formula>
    </cfRule>
    <cfRule type="cellIs" dxfId="35" priority="4" operator="equal">
      <formula>"Not in scope"</formula>
    </cfRule>
  </conditionalFormatting>
  <dataValidations count="1">
    <dataValidation type="list" allowBlank="1" sqref="I6:I24" xr:uid="{00000000-0002-0000-0300-000000000000}">
      <formula1>"Yes,No"</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8641C"/>
    <pageSetUpPr fitToPage="1"/>
  </sheetPr>
  <dimension ref="A1:D16"/>
  <sheetViews>
    <sheetView showGridLines="0" zoomScaleNormal="100" workbookViewId="0"/>
  </sheetViews>
  <sheetFormatPr defaultColWidth="8.6640625" defaultRowHeight="14.25" x14ac:dyDescent="0.45"/>
  <cols>
    <col min="1" max="1" width="4" customWidth="1"/>
    <col min="2" max="2" width="44" customWidth="1"/>
    <col min="3" max="3" width="18" customWidth="1"/>
    <col min="4" max="4" width="72" customWidth="1"/>
  </cols>
  <sheetData>
    <row r="1" spans="1:4" ht="30" customHeight="1" x14ac:dyDescent="0.45">
      <c r="A1" s="122" t="s">
        <v>318</v>
      </c>
      <c r="B1" s="122"/>
      <c r="C1" s="122"/>
      <c r="D1" s="122"/>
    </row>
    <row r="2" spans="1:4" ht="18" customHeight="1" x14ac:dyDescent="0.45">
      <c r="A2" s="123" t="s">
        <v>319</v>
      </c>
      <c r="B2" s="123"/>
      <c r="C2" s="123"/>
      <c r="D2" s="123"/>
    </row>
    <row r="3" spans="1:4" ht="21.75" customHeight="1" x14ac:dyDescent="0.45">
      <c r="A3" s="124" t="s">
        <v>320</v>
      </c>
      <c r="B3" s="124"/>
      <c r="C3" s="124"/>
      <c r="D3" s="124"/>
    </row>
    <row r="5" spans="1:4" ht="30" customHeight="1" x14ac:dyDescent="0.45">
      <c r="A5" s="32" t="s">
        <v>134</v>
      </c>
      <c r="B5" s="32" t="s">
        <v>321</v>
      </c>
      <c r="C5" s="32" t="s">
        <v>322</v>
      </c>
      <c r="D5" s="32" t="s">
        <v>323</v>
      </c>
    </row>
    <row r="6" spans="1:4" ht="42" customHeight="1" x14ac:dyDescent="0.45">
      <c r="A6" s="52">
        <v>1</v>
      </c>
      <c r="B6" s="53" t="s">
        <v>324</v>
      </c>
      <c r="C6" s="54"/>
      <c r="D6" s="55" t="s">
        <v>325</v>
      </c>
    </row>
    <row r="7" spans="1:4" ht="42" customHeight="1" x14ac:dyDescent="0.45">
      <c r="A7" s="52">
        <v>2</v>
      </c>
      <c r="B7" s="53" t="s">
        <v>326</v>
      </c>
      <c r="C7" s="54"/>
      <c r="D7" s="55" t="s">
        <v>327</v>
      </c>
    </row>
    <row r="8" spans="1:4" ht="42" customHeight="1" x14ac:dyDescent="0.45">
      <c r="A8" s="52">
        <v>3</v>
      </c>
      <c r="B8" s="53" t="s">
        <v>328</v>
      </c>
      <c r="C8" s="54"/>
      <c r="D8" s="55" t="s">
        <v>329</v>
      </c>
    </row>
    <row r="9" spans="1:4" ht="42" customHeight="1" x14ac:dyDescent="0.45">
      <c r="A9" s="52">
        <v>4</v>
      </c>
      <c r="B9" s="53" t="s">
        <v>330</v>
      </c>
      <c r="C9" s="54"/>
      <c r="D9" s="55" t="s">
        <v>331</v>
      </c>
    </row>
    <row r="10" spans="1:4" ht="42" customHeight="1" x14ac:dyDescent="0.45">
      <c r="A10" s="52">
        <v>5</v>
      </c>
      <c r="B10" s="53" t="s">
        <v>332</v>
      </c>
      <c r="C10" s="54"/>
      <c r="D10" s="55" t="s">
        <v>333</v>
      </c>
    </row>
    <row r="11" spans="1:4" ht="42" customHeight="1" x14ac:dyDescent="0.45">
      <c r="A11" s="52">
        <v>6</v>
      </c>
      <c r="B11" s="53" t="s">
        <v>334</v>
      </c>
      <c r="C11" s="54"/>
      <c r="D11" s="55" t="s">
        <v>335</v>
      </c>
    </row>
    <row r="12" spans="1:4" ht="42" customHeight="1" x14ac:dyDescent="0.45">
      <c r="A12" s="52">
        <v>7</v>
      </c>
      <c r="B12" s="53" t="s">
        <v>336</v>
      </c>
      <c r="C12" s="54"/>
      <c r="D12" s="55" t="s">
        <v>337</v>
      </c>
    </row>
    <row r="14" spans="1:4" ht="24" customHeight="1" x14ac:dyDescent="0.45">
      <c r="A14" s="2" t="s">
        <v>338</v>
      </c>
      <c r="B14" s="2"/>
      <c r="C14" s="2"/>
      <c r="D14" s="2"/>
    </row>
    <row r="15" spans="1:4" ht="42" customHeight="1" x14ac:dyDescent="0.45">
      <c r="A15" s="126" t="str">
        <f>"Role: "&amp;IF($C$6="","(unanswered)",IF($C$6="Building","Provider",IF($C$6="Buying","Deployer","Provider and Deployer")))&amp;"   |   Regime: "&amp;IF($C$9="Yes","HIGH-RISK (Annex I), deadline 2 Aug 2028",IF($C$8="Yes","HIGH-RISK (Annex III), deadline 2 Dec 2027",IF($C$10="Yes","Limited/minimal risk. Art.50 transparency + Art.4 literacy live from 2 Aug 2026","Outside EU scope, baseline governance recommended")))&amp;"   |   GPAI track: "&amp;IF($C$7="Yes","Yes","No")&amp;"   |   Sector rules stack: "&amp;IF($C$11="Yes","Yes","No")&amp;"   |   Agentic controls: "&amp;IF($C$12="Yes","REQUIRED","Not applicable")</f>
        <v>Role: (unanswered)   |   Regime: Outside EU scope, baseline governance recommended   |   GPAI track: No   |   Sector rules stack: No   |   Agentic controls: Not applicable</v>
      </c>
      <c r="B15" s="126"/>
      <c r="C15" s="126"/>
      <c r="D15" s="126"/>
    </row>
    <row r="16" spans="1:4" ht="31.5" customHeight="1" x14ac:dyDescent="0.45">
      <c r="A16" s="127" t="str">
        <f>"Next step: "&amp;IF(OR($C$8="Yes",$C$9="Yes"),"Implement all 32 crosswalk capabilities, P1 first. Target Level 3 maturity well ahead of your deadline.","Implement the P1 crosswalk capabilities as your baseline, and the transparency and literacy duties now.")&amp;"  Work the Gap Report; assign owners on the Checklist."</f>
        <v>Next step: Implement the P1 crosswalk capabilities as your baseline, and the transparency and literacy duties now.  Work the Gap Report; assign owners on the Checklist.</v>
      </c>
      <c r="B16" s="127"/>
      <c r="C16" s="127"/>
      <c r="D16" s="127"/>
    </row>
  </sheetData>
  <mergeCells count="6">
    <mergeCell ref="A16:D16"/>
    <mergeCell ref="A1:D1"/>
    <mergeCell ref="A2:D2"/>
    <mergeCell ref="A3:D3"/>
    <mergeCell ref="A14:D14"/>
    <mergeCell ref="A15:D15"/>
  </mergeCells>
  <dataValidations count="2">
    <dataValidation type="list" allowBlank="1" sqref="C6" xr:uid="{00000000-0002-0000-0400-000000000000}">
      <formula1>"Building,Buying,Both"</formula1>
      <formula2>0</formula2>
    </dataValidation>
    <dataValidation type="list" allowBlank="1" sqref="C7:C12" xr:uid="{00000000-0002-0000-0400-000001000000}">
      <formula1>"Yes,No"</formula1>
      <formula2>0</formula2>
    </dataValidation>
  </dataValidations>
  <printOptions horizontalCentered="1"/>
  <pageMargins left="0.75" right="0.75" top="1" bottom="1" header="0.511811023622047" footer="0.511811023622047"/>
  <pageSetup fitToHeight="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11A43"/>
    <pageSetUpPr fitToPage="1"/>
  </sheetPr>
  <dimension ref="A1:I37"/>
  <sheetViews>
    <sheetView showGridLines="0" zoomScaleNormal="100" workbookViewId="0">
      <pane ySplit="5" topLeftCell="A6" activePane="bottomLeft" state="frozen"/>
      <selection pane="bottomLeft"/>
    </sheetView>
  </sheetViews>
  <sheetFormatPr defaultColWidth="8.6640625" defaultRowHeight="14.25" x14ac:dyDescent="0.45"/>
  <cols>
    <col min="1" max="1" width="4" customWidth="1"/>
    <col min="2" max="2" width="22" customWidth="1"/>
    <col min="3" max="3" width="30" customWidth="1"/>
    <col min="4" max="4" width="8" customWidth="1"/>
    <col min="5" max="5" width="32" customWidth="1"/>
    <col min="6" max="6" width="38" customWidth="1"/>
    <col min="7" max="7" width="20" customWidth="1"/>
    <col min="8" max="8" width="26" customWidth="1"/>
    <col min="9" max="9" width="8" customWidth="1"/>
  </cols>
  <sheetData>
    <row r="1" spans="1:9" ht="30" customHeight="1" x14ac:dyDescent="0.45">
      <c r="A1" s="122" t="s">
        <v>339</v>
      </c>
      <c r="B1" s="122"/>
      <c r="C1" s="122"/>
      <c r="D1" s="122"/>
      <c r="E1" s="122"/>
      <c r="F1" s="122"/>
      <c r="G1" s="122"/>
      <c r="H1" s="122"/>
      <c r="I1" s="122"/>
    </row>
    <row r="2" spans="1:9" ht="18" customHeight="1" x14ac:dyDescent="0.45">
      <c r="A2" s="123" t="s">
        <v>340</v>
      </c>
      <c r="B2" s="123"/>
      <c r="C2" s="123"/>
      <c r="D2" s="123"/>
      <c r="E2" s="123"/>
      <c r="F2" s="123"/>
      <c r="G2" s="123"/>
      <c r="H2" s="123"/>
      <c r="I2" s="123"/>
    </row>
    <row r="3" spans="1:9" ht="21.75" customHeight="1" x14ac:dyDescent="0.45">
      <c r="A3" s="124" t="s">
        <v>341</v>
      </c>
      <c r="B3" s="124"/>
      <c r="C3" s="124"/>
      <c r="D3" s="124"/>
      <c r="E3" s="124"/>
      <c r="F3" s="124"/>
      <c r="G3" s="124"/>
      <c r="H3" s="124"/>
      <c r="I3" s="124"/>
    </row>
    <row r="5" spans="1:9" ht="30" customHeight="1" x14ac:dyDescent="0.45">
      <c r="A5" s="32" t="s">
        <v>134</v>
      </c>
      <c r="B5" s="32" t="s">
        <v>342</v>
      </c>
      <c r="C5" s="32" t="s">
        <v>343</v>
      </c>
      <c r="D5" s="32" t="s">
        <v>344</v>
      </c>
      <c r="E5" s="32" t="s">
        <v>345</v>
      </c>
      <c r="F5" s="32" t="s">
        <v>346</v>
      </c>
      <c r="G5" s="32" t="s">
        <v>347</v>
      </c>
      <c r="H5" s="32" t="s">
        <v>348</v>
      </c>
      <c r="I5" s="32" t="s">
        <v>349</v>
      </c>
    </row>
    <row r="6" spans="1:9" ht="23.25" x14ac:dyDescent="0.45">
      <c r="A6" s="56" t="s">
        <v>350</v>
      </c>
      <c r="B6" s="57" t="s">
        <v>351</v>
      </c>
      <c r="C6" s="56" t="s">
        <v>352</v>
      </c>
      <c r="D6" s="56" t="s">
        <v>353</v>
      </c>
      <c r="E6" s="56" t="s">
        <v>354</v>
      </c>
      <c r="F6" s="56" t="s">
        <v>355</v>
      </c>
      <c r="G6" s="56" t="s">
        <v>356</v>
      </c>
      <c r="H6" s="56" t="s">
        <v>357</v>
      </c>
      <c r="I6" s="56" t="s">
        <v>358</v>
      </c>
    </row>
    <row r="7" spans="1:9" ht="23.25" x14ac:dyDescent="0.45">
      <c r="A7" s="55" t="s">
        <v>359</v>
      </c>
      <c r="B7" s="57" t="s">
        <v>360</v>
      </c>
      <c r="C7" s="55" t="s">
        <v>361</v>
      </c>
      <c r="D7" s="55" t="s">
        <v>362</v>
      </c>
      <c r="E7" s="55" t="s">
        <v>363</v>
      </c>
      <c r="F7" s="55" t="s">
        <v>364</v>
      </c>
      <c r="G7" s="55" t="s">
        <v>365</v>
      </c>
      <c r="H7" s="55" t="s">
        <v>366</v>
      </c>
      <c r="I7" s="55" t="s">
        <v>358</v>
      </c>
    </row>
    <row r="8" spans="1:9" ht="23.25" x14ac:dyDescent="0.45">
      <c r="A8" s="56" t="s">
        <v>367</v>
      </c>
      <c r="B8" s="57" t="s">
        <v>368</v>
      </c>
      <c r="C8" s="56" t="s">
        <v>369</v>
      </c>
      <c r="D8" s="56" t="s">
        <v>353</v>
      </c>
      <c r="E8" s="56" t="s">
        <v>370</v>
      </c>
      <c r="F8" s="56" t="s">
        <v>371</v>
      </c>
      <c r="G8" s="56" t="s">
        <v>372</v>
      </c>
      <c r="H8" s="56" t="s">
        <v>373</v>
      </c>
      <c r="I8" s="56" t="s">
        <v>358</v>
      </c>
    </row>
    <row r="9" spans="1:9" ht="23.25" x14ac:dyDescent="0.45">
      <c r="A9" s="55" t="s">
        <v>374</v>
      </c>
      <c r="B9" s="57" t="s">
        <v>375</v>
      </c>
      <c r="C9" s="55" t="s">
        <v>376</v>
      </c>
      <c r="D9" s="55" t="s">
        <v>353</v>
      </c>
      <c r="E9" s="55" t="s">
        <v>377</v>
      </c>
      <c r="F9" s="55" t="s">
        <v>378</v>
      </c>
      <c r="G9" s="55" t="s">
        <v>379</v>
      </c>
      <c r="H9" s="55" t="s">
        <v>380</v>
      </c>
      <c r="I9" s="55" t="s">
        <v>358</v>
      </c>
    </row>
    <row r="10" spans="1:9" ht="23.25" x14ac:dyDescent="0.45">
      <c r="A10" s="56" t="s">
        <v>381</v>
      </c>
      <c r="B10" s="57" t="s">
        <v>101</v>
      </c>
      <c r="C10" s="56" t="s">
        <v>382</v>
      </c>
      <c r="D10" s="56" t="s">
        <v>362</v>
      </c>
      <c r="E10" s="56" t="s">
        <v>383</v>
      </c>
      <c r="F10" s="56" t="s">
        <v>384</v>
      </c>
      <c r="G10" s="56" t="s">
        <v>385</v>
      </c>
      <c r="H10" s="56" t="s">
        <v>386</v>
      </c>
      <c r="I10" s="56" t="s">
        <v>358</v>
      </c>
    </row>
    <row r="11" spans="1:9" ht="23.25" x14ac:dyDescent="0.45">
      <c r="A11" s="55" t="s">
        <v>387</v>
      </c>
      <c r="B11" s="57" t="s">
        <v>105</v>
      </c>
      <c r="C11" s="55" t="s">
        <v>388</v>
      </c>
      <c r="D11" s="55" t="s">
        <v>389</v>
      </c>
      <c r="E11" s="55" t="s">
        <v>390</v>
      </c>
      <c r="F11" s="55" t="s">
        <v>391</v>
      </c>
      <c r="G11" s="55" t="s">
        <v>392</v>
      </c>
      <c r="H11" s="55" t="s">
        <v>393</v>
      </c>
      <c r="I11" s="55" t="s">
        <v>358</v>
      </c>
    </row>
    <row r="12" spans="1:9" ht="23.25" x14ac:dyDescent="0.45">
      <c r="A12" s="56" t="s">
        <v>394</v>
      </c>
      <c r="B12" s="57" t="s">
        <v>395</v>
      </c>
      <c r="C12" s="56" t="s">
        <v>396</v>
      </c>
      <c r="D12" s="56" t="s">
        <v>397</v>
      </c>
      <c r="E12" s="56" t="s">
        <v>398</v>
      </c>
      <c r="F12" s="56" t="s">
        <v>399</v>
      </c>
      <c r="G12" s="56" t="s">
        <v>400</v>
      </c>
      <c r="H12" s="56" t="s">
        <v>401</v>
      </c>
      <c r="I12" s="56" t="s">
        <v>402</v>
      </c>
    </row>
    <row r="13" spans="1:9" ht="23.25" x14ac:dyDescent="0.45">
      <c r="A13" s="55" t="s">
        <v>403</v>
      </c>
      <c r="B13" s="57" t="s">
        <v>404</v>
      </c>
      <c r="C13" s="55" t="s">
        <v>405</v>
      </c>
      <c r="D13" s="55" t="s">
        <v>362</v>
      </c>
      <c r="E13" s="55" t="s">
        <v>406</v>
      </c>
      <c r="F13" s="55" t="s">
        <v>407</v>
      </c>
      <c r="G13" s="55" t="s">
        <v>408</v>
      </c>
      <c r="H13" s="55" t="s">
        <v>409</v>
      </c>
      <c r="I13" s="55" t="s">
        <v>402</v>
      </c>
    </row>
    <row r="14" spans="1:9" ht="23.25" x14ac:dyDescent="0.45">
      <c r="A14" s="56" t="s">
        <v>410</v>
      </c>
      <c r="B14" s="57" t="s">
        <v>411</v>
      </c>
      <c r="C14" s="56" t="s">
        <v>412</v>
      </c>
      <c r="D14" s="56" t="s">
        <v>413</v>
      </c>
      <c r="E14" s="56" t="s">
        <v>414</v>
      </c>
      <c r="F14" s="56" t="s">
        <v>415</v>
      </c>
      <c r="G14" s="56" t="s">
        <v>416</v>
      </c>
      <c r="H14" s="56" t="s">
        <v>417</v>
      </c>
      <c r="I14" s="56" t="s">
        <v>358</v>
      </c>
    </row>
    <row r="15" spans="1:9" ht="23.25" x14ac:dyDescent="0.45">
      <c r="A15" s="55" t="s">
        <v>418</v>
      </c>
      <c r="B15" s="57" t="s">
        <v>419</v>
      </c>
      <c r="C15" s="55" t="s">
        <v>420</v>
      </c>
      <c r="D15" s="55" t="s">
        <v>413</v>
      </c>
      <c r="E15" s="55" t="s">
        <v>421</v>
      </c>
      <c r="F15" s="55" t="s">
        <v>422</v>
      </c>
      <c r="G15" s="55" t="s">
        <v>423</v>
      </c>
      <c r="H15" s="55" t="s">
        <v>424</v>
      </c>
      <c r="I15" s="55" t="s">
        <v>402</v>
      </c>
    </row>
    <row r="16" spans="1:9" ht="24" x14ac:dyDescent="0.45">
      <c r="A16" s="56" t="s">
        <v>425</v>
      </c>
      <c r="B16" s="57" t="s">
        <v>426</v>
      </c>
      <c r="C16" s="56" t="s">
        <v>427</v>
      </c>
      <c r="D16" s="56" t="s">
        <v>428</v>
      </c>
      <c r="E16" s="56" t="s">
        <v>429</v>
      </c>
      <c r="F16" s="56" t="s">
        <v>430</v>
      </c>
      <c r="G16" s="56" t="s">
        <v>431</v>
      </c>
      <c r="H16" s="56" t="s">
        <v>432</v>
      </c>
      <c r="I16" s="56" t="s">
        <v>402</v>
      </c>
    </row>
    <row r="17" spans="1:9" ht="23.25" x14ac:dyDescent="0.45">
      <c r="A17" s="55" t="s">
        <v>433</v>
      </c>
      <c r="B17" s="57" t="s">
        <v>434</v>
      </c>
      <c r="C17" s="55" t="s">
        <v>435</v>
      </c>
      <c r="D17" s="55" t="s">
        <v>436</v>
      </c>
      <c r="E17" s="55" t="s">
        <v>437</v>
      </c>
      <c r="F17" s="55" t="s">
        <v>438</v>
      </c>
      <c r="G17" s="55" t="s">
        <v>439</v>
      </c>
      <c r="H17" s="55" t="s">
        <v>440</v>
      </c>
      <c r="I17" s="55" t="s">
        <v>358</v>
      </c>
    </row>
    <row r="18" spans="1:9" ht="23.25" x14ac:dyDescent="0.45">
      <c r="A18" s="56" t="s">
        <v>441</v>
      </c>
      <c r="B18" s="57" t="s">
        <v>100</v>
      </c>
      <c r="C18" s="56" t="s">
        <v>442</v>
      </c>
      <c r="D18" s="56" t="s">
        <v>413</v>
      </c>
      <c r="E18" s="56" t="s">
        <v>443</v>
      </c>
      <c r="F18" s="56" t="s">
        <v>444</v>
      </c>
      <c r="G18" s="56" t="s">
        <v>445</v>
      </c>
      <c r="H18" s="56" t="s">
        <v>446</v>
      </c>
      <c r="I18" s="56" t="s">
        <v>358</v>
      </c>
    </row>
    <row r="19" spans="1:9" ht="23.25" x14ac:dyDescent="0.45">
      <c r="A19" s="55" t="s">
        <v>447</v>
      </c>
      <c r="B19" s="57" t="s">
        <v>448</v>
      </c>
      <c r="C19" s="55" t="s">
        <v>449</v>
      </c>
      <c r="D19" s="55" t="s">
        <v>428</v>
      </c>
      <c r="E19" s="55" t="s">
        <v>450</v>
      </c>
      <c r="F19" s="55" t="s">
        <v>451</v>
      </c>
      <c r="G19" s="55" t="s">
        <v>452</v>
      </c>
      <c r="H19" s="55" t="s">
        <v>453</v>
      </c>
      <c r="I19" s="55" t="s">
        <v>402</v>
      </c>
    </row>
    <row r="20" spans="1:9" ht="23.25" x14ac:dyDescent="0.45">
      <c r="A20" s="56" t="s">
        <v>454</v>
      </c>
      <c r="B20" s="57" t="s">
        <v>455</v>
      </c>
      <c r="C20" s="56" t="s">
        <v>456</v>
      </c>
      <c r="D20" s="56" t="s">
        <v>362</v>
      </c>
      <c r="E20" s="56" t="s">
        <v>457</v>
      </c>
      <c r="F20" s="56" t="s">
        <v>458</v>
      </c>
      <c r="G20" s="56" t="s">
        <v>459</v>
      </c>
      <c r="H20" s="56" t="s">
        <v>460</v>
      </c>
      <c r="I20" s="56" t="s">
        <v>358</v>
      </c>
    </row>
    <row r="21" spans="1:9" ht="23.25" x14ac:dyDescent="0.45">
      <c r="A21" s="55" t="s">
        <v>461</v>
      </c>
      <c r="B21" s="57" t="s">
        <v>462</v>
      </c>
      <c r="C21" s="55" t="s">
        <v>463</v>
      </c>
      <c r="D21" s="55" t="s">
        <v>428</v>
      </c>
      <c r="E21" s="55" t="s">
        <v>464</v>
      </c>
      <c r="F21" s="55" t="s">
        <v>465</v>
      </c>
      <c r="G21" s="55" t="s">
        <v>466</v>
      </c>
      <c r="H21" s="55" t="s">
        <v>467</v>
      </c>
      <c r="I21" s="55" t="s">
        <v>468</v>
      </c>
    </row>
    <row r="22" spans="1:9" ht="23.25" x14ac:dyDescent="0.45">
      <c r="A22" s="56" t="s">
        <v>469</v>
      </c>
      <c r="B22" s="57" t="s">
        <v>470</v>
      </c>
      <c r="C22" s="56" t="s">
        <v>471</v>
      </c>
      <c r="D22" s="56" t="s">
        <v>472</v>
      </c>
      <c r="E22" s="56" t="s">
        <v>473</v>
      </c>
      <c r="F22" s="56" t="s">
        <v>474</v>
      </c>
      <c r="G22" s="56" t="s">
        <v>475</v>
      </c>
      <c r="H22" s="56" t="s">
        <v>476</v>
      </c>
      <c r="I22" s="56" t="s">
        <v>402</v>
      </c>
    </row>
    <row r="23" spans="1:9" ht="23.25" x14ac:dyDescent="0.45">
      <c r="A23" s="55" t="s">
        <v>477</v>
      </c>
      <c r="B23" s="57" t="s">
        <v>478</v>
      </c>
      <c r="C23" s="55" t="s">
        <v>479</v>
      </c>
      <c r="D23" s="55" t="s">
        <v>480</v>
      </c>
      <c r="E23" s="55" t="s">
        <v>481</v>
      </c>
      <c r="F23" s="55" t="s">
        <v>482</v>
      </c>
      <c r="G23" s="55" t="s">
        <v>483</v>
      </c>
      <c r="H23" s="55" t="s">
        <v>484</v>
      </c>
      <c r="I23" s="55" t="s">
        <v>402</v>
      </c>
    </row>
    <row r="24" spans="1:9" ht="23.25" x14ac:dyDescent="0.45">
      <c r="A24" s="56" t="s">
        <v>485</v>
      </c>
      <c r="B24" s="57" t="s">
        <v>486</v>
      </c>
      <c r="C24" s="56" t="s">
        <v>487</v>
      </c>
      <c r="D24" s="56" t="s">
        <v>436</v>
      </c>
      <c r="E24" s="56" t="s">
        <v>429</v>
      </c>
      <c r="F24" s="56" t="s">
        <v>488</v>
      </c>
      <c r="G24" s="56" t="s">
        <v>408</v>
      </c>
      <c r="H24" s="56" t="s">
        <v>489</v>
      </c>
      <c r="I24" s="56" t="s">
        <v>468</v>
      </c>
    </row>
    <row r="25" spans="1:9" ht="23.25" x14ac:dyDescent="0.45">
      <c r="A25" s="55" t="s">
        <v>490</v>
      </c>
      <c r="B25" s="57" t="s">
        <v>491</v>
      </c>
      <c r="C25" s="55" t="s">
        <v>492</v>
      </c>
      <c r="D25" s="55" t="s">
        <v>428</v>
      </c>
      <c r="E25" s="55" t="s">
        <v>493</v>
      </c>
      <c r="F25" s="55" t="s">
        <v>494</v>
      </c>
      <c r="G25" s="55" t="s">
        <v>495</v>
      </c>
      <c r="H25" s="55" t="s">
        <v>496</v>
      </c>
      <c r="I25" s="55" t="s">
        <v>402</v>
      </c>
    </row>
    <row r="26" spans="1:9" ht="23.25" x14ac:dyDescent="0.45">
      <c r="A26" s="56" t="s">
        <v>497</v>
      </c>
      <c r="B26" s="57" t="s">
        <v>498</v>
      </c>
      <c r="C26" s="56" t="s">
        <v>499</v>
      </c>
      <c r="D26" s="56" t="s">
        <v>428</v>
      </c>
      <c r="E26" s="56" t="s">
        <v>429</v>
      </c>
      <c r="F26" s="56" t="s">
        <v>500</v>
      </c>
      <c r="G26" s="56" t="s">
        <v>501</v>
      </c>
      <c r="H26" s="56" t="s">
        <v>502</v>
      </c>
      <c r="I26" s="56" t="s">
        <v>402</v>
      </c>
    </row>
    <row r="27" spans="1:9" x14ac:dyDescent="0.45">
      <c r="A27" s="55" t="s">
        <v>503</v>
      </c>
      <c r="B27" s="57" t="s">
        <v>504</v>
      </c>
      <c r="C27" s="55" t="s">
        <v>505</v>
      </c>
      <c r="D27" s="55" t="s">
        <v>428</v>
      </c>
      <c r="E27" s="55" t="s">
        <v>429</v>
      </c>
      <c r="F27" s="55" t="s">
        <v>506</v>
      </c>
      <c r="G27" s="55" t="s">
        <v>507</v>
      </c>
      <c r="H27" s="55" t="s">
        <v>508</v>
      </c>
      <c r="I27" s="55" t="s">
        <v>402</v>
      </c>
    </row>
    <row r="28" spans="1:9" ht="23.25" x14ac:dyDescent="0.45">
      <c r="A28" s="56" t="s">
        <v>509</v>
      </c>
      <c r="B28" s="57" t="s">
        <v>510</v>
      </c>
      <c r="C28" s="56" t="s">
        <v>511</v>
      </c>
      <c r="D28" s="56" t="s">
        <v>480</v>
      </c>
      <c r="E28" s="56" t="s">
        <v>512</v>
      </c>
      <c r="F28" s="56" t="s">
        <v>513</v>
      </c>
      <c r="G28" s="56" t="s">
        <v>356</v>
      </c>
      <c r="H28" s="56" t="s">
        <v>514</v>
      </c>
      <c r="I28" s="56" t="s">
        <v>402</v>
      </c>
    </row>
    <row r="29" spans="1:9" x14ac:dyDescent="0.45">
      <c r="A29" s="55" t="s">
        <v>515</v>
      </c>
      <c r="B29" s="57" t="s">
        <v>516</v>
      </c>
      <c r="C29" s="55" t="s">
        <v>517</v>
      </c>
      <c r="D29" s="55" t="s">
        <v>480</v>
      </c>
      <c r="E29" s="55" t="s">
        <v>518</v>
      </c>
      <c r="F29" s="55" t="s">
        <v>519</v>
      </c>
      <c r="G29" s="55" t="s">
        <v>520</v>
      </c>
      <c r="H29" s="55" t="s">
        <v>521</v>
      </c>
      <c r="I29" s="55" t="s">
        <v>358</v>
      </c>
    </row>
    <row r="30" spans="1:9" x14ac:dyDescent="0.45">
      <c r="A30" s="56" t="s">
        <v>522</v>
      </c>
      <c r="B30" s="57" t="s">
        <v>523</v>
      </c>
      <c r="C30" s="56" t="s">
        <v>524</v>
      </c>
      <c r="D30" s="56" t="s">
        <v>480</v>
      </c>
      <c r="E30" s="56" t="s">
        <v>525</v>
      </c>
      <c r="F30" s="56" t="s">
        <v>526</v>
      </c>
      <c r="G30" s="56" t="s">
        <v>527</v>
      </c>
      <c r="H30" s="56" t="s">
        <v>528</v>
      </c>
      <c r="I30" s="56" t="s">
        <v>402</v>
      </c>
    </row>
    <row r="31" spans="1:9" x14ac:dyDescent="0.45">
      <c r="A31" s="55" t="s">
        <v>529</v>
      </c>
      <c r="B31" s="57" t="s">
        <v>530</v>
      </c>
      <c r="C31" s="55" t="s">
        <v>531</v>
      </c>
      <c r="D31" s="55" t="s">
        <v>436</v>
      </c>
      <c r="E31" s="55" t="s">
        <v>532</v>
      </c>
      <c r="F31" s="55" t="s">
        <v>533</v>
      </c>
      <c r="G31" s="55" t="s">
        <v>534</v>
      </c>
      <c r="H31" s="55" t="s">
        <v>535</v>
      </c>
      <c r="I31" s="55" t="s">
        <v>468</v>
      </c>
    </row>
    <row r="32" spans="1:9" ht="23.25" x14ac:dyDescent="0.45">
      <c r="A32" s="56" t="s">
        <v>536</v>
      </c>
      <c r="B32" s="57" t="s">
        <v>537</v>
      </c>
      <c r="C32" s="56" t="s">
        <v>538</v>
      </c>
      <c r="D32" s="56" t="s">
        <v>480</v>
      </c>
      <c r="E32" s="56" t="s">
        <v>539</v>
      </c>
      <c r="F32" s="56" t="s">
        <v>540</v>
      </c>
      <c r="G32" s="56" t="s">
        <v>356</v>
      </c>
      <c r="H32" s="56" t="s">
        <v>541</v>
      </c>
      <c r="I32" s="56" t="s">
        <v>358</v>
      </c>
    </row>
    <row r="33" spans="1:9" x14ac:dyDescent="0.45">
      <c r="A33" s="55" t="s">
        <v>542</v>
      </c>
      <c r="B33" s="57" t="s">
        <v>543</v>
      </c>
      <c r="C33" s="55" t="s">
        <v>544</v>
      </c>
      <c r="D33" s="55" t="s">
        <v>480</v>
      </c>
      <c r="E33" s="55" t="s">
        <v>545</v>
      </c>
      <c r="F33" s="55" t="s">
        <v>546</v>
      </c>
      <c r="G33" s="55" t="s">
        <v>356</v>
      </c>
      <c r="H33" s="55" t="s">
        <v>547</v>
      </c>
      <c r="I33" s="55" t="s">
        <v>358</v>
      </c>
    </row>
    <row r="34" spans="1:9" ht="23.25" x14ac:dyDescent="0.45">
      <c r="A34" s="56" t="s">
        <v>548</v>
      </c>
      <c r="B34" s="57" t="s">
        <v>549</v>
      </c>
      <c r="C34" s="56" t="s">
        <v>550</v>
      </c>
      <c r="D34" s="56" t="s">
        <v>551</v>
      </c>
      <c r="E34" s="56" t="s">
        <v>552</v>
      </c>
      <c r="F34" s="56" t="s">
        <v>553</v>
      </c>
      <c r="G34" s="56" t="s">
        <v>554</v>
      </c>
      <c r="H34" s="56" t="s">
        <v>555</v>
      </c>
      <c r="I34" s="56" t="s">
        <v>402</v>
      </c>
    </row>
    <row r="35" spans="1:9" ht="23.25" x14ac:dyDescent="0.45">
      <c r="A35" s="55" t="s">
        <v>556</v>
      </c>
      <c r="B35" s="57" t="s">
        <v>557</v>
      </c>
      <c r="C35" s="55" t="s">
        <v>558</v>
      </c>
      <c r="D35" s="55" t="s">
        <v>436</v>
      </c>
      <c r="E35" s="55" t="s">
        <v>559</v>
      </c>
      <c r="F35" s="55" t="s">
        <v>560</v>
      </c>
      <c r="G35" s="55" t="s">
        <v>356</v>
      </c>
      <c r="H35" s="55" t="s">
        <v>561</v>
      </c>
      <c r="I35" s="55" t="s">
        <v>468</v>
      </c>
    </row>
    <row r="36" spans="1:9" ht="24" x14ac:dyDescent="0.45">
      <c r="A36" s="56" t="s">
        <v>562</v>
      </c>
      <c r="B36" s="57" t="s">
        <v>563</v>
      </c>
      <c r="C36" s="56" t="s">
        <v>564</v>
      </c>
      <c r="D36" s="56" t="s">
        <v>362</v>
      </c>
      <c r="E36" s="56" t="s">
        <v>565</v>
      </c>
      <c r="F36" s="56" t="s">
        <v>566</v>
      </c>
      <c r="G36" s="56" t="s">
        <v>567</v>
      </c>
      <c r="H36" s="56" t="s">
        <v>568</v>
      </c>
      <c r="I36" s="56" t="s">
        <v>402</v>
      </c>
    </row>
    <row r="37" spans="1:9" ht="23.25" x14ac:dyDescent="0.45">
      <c r="A37" s="55" t="s">
        <v>569</v>
      </c>
      <c r="B37" s="57" t="s">
        <v>570</v>
      </c>
      <c r="C37" s="55" t="s">
        <v>571</v>
      </c>
      <c r="D37" s="55" t="s">
        <v>389</v>
      </c>
      <c r="E37" s="55" t="s">
        <v>572</v>
      </c>
      <c r="F37" s="55" t="s">
        <v>573</v>
      </c>
      <c r="G37" s="55" t="s">
        <v>574</v>
      </c>
      <c r="H37" s="55" t="s">
        <v>575</v>
      </c>
      <c r="I37" s="55" t="s">
        <v>402</v>
      </c>
    </row>
  </sheetData>
  <autoFilter ref="A5:I37" xr:uid="{00000000-0009-0000-0000-000005000000}"/>
  <mergeCells count="3">
    <mergeCell ref="A1:I1"/>
    <mergeCell ref="A2:I2"/>
    <mergeCell ref="A3:I3"/>
  </mergeCells>
  <conditionalFormatting sqref="I6:I37">
    <cfRule type="cellIs" dxfId="34" priority="2" operator="equal">
      <formula>"P1"</formula>
    </cfRule>
    <cfRule type="cellIs" dxfId="33" priority="3" operator="equal">
      <formula>"P2"</formula>
    </cfRule>
    <cfRule type="cellIs" dxfId="32" priority="4" operator="equal">
      <formula>"P3"</formula>
    </cfRule>
  </conditionalFormatting>
  <printOptions horizontalCentered="1"/>
  <pageMargins left="0.75" right="0.75" top="1" bottom="1" header="0.511811023622047" footer="0.511811023622047"/>
  <pageSetup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11A43"/>
    <pageSetUpPr fitToPage="1"/>
  </sheetPr>
  <dimension ref="A1:E18"/>
  <sheetViews>
    <sheetView showGridLines="0" zoomScaleNormal="100" workbookViewId="0">
      <pane ySplit="5" topLeftCell="A6" activePane="bottomLeft" state="frozen"/>
      <selection pane="bottomLeft"/>
    </sheetView>
  </sheetViews>
  <sheetFormatPr defaultColWidth="8.6640625" defaultRowHeight="14.25" x14ac:dyDescent="0.45"/>
  <cols>
    <col min="1" max="1" width="24" customWidth="1"/>
    <col min="2" max="2" width="20" customWidth="1"/>
    <col min="3" max="3" width="38" customWidth="1"/>
    <col min="4" max="4" width="44" customWidth="1"/>
    <col min="5" max="5" width="30" customWidth="1"/>
  </cols>
  <sheetData>
    <row r="1" spans="1:5" ht="30" customHeight="1" x14ac:dyDescent="0.45">
      <c r="A1" s="122" t="s">
        <v>576</v>
      </c>
      <c r="B1" s="122"/>
      <c r="C1" s="122"/>
      <c r="D1" s="122"/>
      <c r="E1" s="122"/>
    </row>
    <row r="2" spans="1:5" ht="18" customHeight="1" x14ac:dyDescent="0.45">
      <c r="A2" s="123" t="s">
        <v>577</v>
      </c>
      <c r="B2" s="123"/>
      <c r="C2" s="123"/>
      <c r="D2" s="123"/>
      <c r="E2" s="123"/>
    </row>
    <row r="3" spans="1:5" ht="21.75" customHeight="1" x14ac:dyDescent="0.45">
      <c r="A3" s="124" t="s">
        <v>578</v>
      </c>
      <c r="B3" s="124"/>
      <c r="C3" s="124"/>
      <c r="D3" s="124"/>
      <c r="E3" s="124"/>
    </row>
    <row r="5" spans="1:5" ht="30" customHeight="1" x14ac:dyDescent="0.45">
      <c r="A5" s="32" t="s">
        <v>579</v>
      </c>
      <c r="B5" s="32" t="s">
        <v>580</v>
      </c>
      <c r="C5" s="32" t="s">
        <v>581</v>
      </c>
      <c r="D5" s="32" t="s">
        <v>582</v>
      </c>
      <c r="E5" s="32" t="s">
        <v>583</v>
      </c>
    </row>
    <row r="6" spans="1:5" ht="23.25" x14ac:dyDescent="0.45">
      <c r="A6" s="57" t="s">
        <v>584</v>
      </c>
      <c r="B6" s="58" t="s">
        <v>585</v>
      </c>
      <c r="C6" s="56" t="s">
        <v>586</v>
      </c>
      <c r="D6" s="56" t="s">
        <v>587</v>
      </c>
      <c r="E6" s="56" t="s">
        <v>588</v>
      </c>
    </row>
    <row r="7" spans="1:5" ht="23.25" x14ac:dyDescent="0.45">
      <c r="A7" s="57" t="s">
        <v>589</v>
      </c>
      <c r="B7" s="59" t="s">
        <v>590</v>
      </c>
      <c r="C7" s="55" t="s">
        <v>591</v>
      </c>
      <c r="D7" s="55" t="s">
        <v>592</v>
      </c>
      <c r="E7" s="55" t="s">
        <v>593</v>
      </c>
    </row>
    <row r="8" spans="1:5" ht="23.25" x14ac:dyDescent="0.45">
      <c r="A8" s="57" t="s">
        <v>594</v>
      </c>
      <c r="B8" s="58" t="s">
        <v>595</v>
      </c>
      <c r="C8" s="56" t="s">
        <v>596</v>
      </c>
      <c r="D8" s="56" t="s">
        <v>597</v>
      </c>
      <c r="E8" s="56" t="s">
        <v>598</v>
      </c>
    </row>
    <row r="9" spans="1:5" ht="23.25" x14ac:dyDescent="0.45">
      <c r="A9" s="57" t="s">
        <v>599</v>
      </c>
      <c r="B9" s="59" t="s">
        <v>590</v>
      </c>
      <c r="C9" s="55" t="s">
        <v>600</v>
      </c>
      <c r="D9" s="55" t="s">
        <v>601</v>
      </c>
      <c r="E9" s="55" t="s">
        <v>602</v>
      </c>
    </row>
    <row r="10" spans="1:5" ht="23.25" x14ac:dyDescent="0.45">
      <c r="A10" s="57" t="s">
        <v>603</v>
      </c>
      <c r="B10" s="58" t="s">
        <v>595</v>
      </c>
      <c r="C10" s="56" t="s">
        <v>604</v>
      </c>
      <c r="D10" s="56" t="s">
        <v>605</v>
      </c>
      <c r="E10" s="56" t="s">
        <v>606</v>
      </c>
    </row>
    <row r="11" spans="1:5" x14ac:dyDescent="0.45">
      <c r="A11" s="57" t="s">
        <v>607</v>
      </c>
      <c r="B11" s="59" t="s">
        <v>595</v>
      </c>
      <c r="C11" s="55" t="s">
        <v>608</v>
      </c>
      <c r="D11" s="55" t="s">
        <v>609</v>
      </c>
      <c r="E11" s="55" t="s">
        <v>610</v>
      </c>
    </row>
    <row r="12" spans="1:5" ht="23.25" x14ac:dyDescent="0.45">
      <c r="A12" s="57" t="s">
        <v>611</v>
      </c>
      <c r="B12" s="58" t="s">
        <v>595</v>
      </c>
      <c r="C12" s="56" t="s">
        <v>612</v>
      </c>
      <c r="D12" s="56" t="s">
        <v>613</v>
      </c>
      <c r="E12" s="56" t="s">
        <v>614</v>
      </c>
    </row>
    <row r="13" spans="1:5" x14ac:dyDescent="0.45">
      <c r="A13" s="57" t="s">
        <v>615</v>
      </c>
      <c r="B13" s="59" t="s">
        <v>595</v>
      </c>
      <c r="C13" s="55" t="s">
        <v>616</v>
      </c>
      <c r="D13" s="55" t="s">
        <v>617</v>
      </c>
      <c r="E13" s="55" t="s">
        <v>618</v>
      </c>
    </row>
    <row r="14" spans="1:5" ht="23.25" x14ac:dyDescent="0.45">
      <c r="A14" s="57" t="s">
        <v>619</v>
      </c>
      <c r="B14" s="58" t="s">
        <v>595</v>
      </c>
      <c r="C14" s="56" t="s">
        <v>620</v>
      </c>
      <c r="D14" s="56" t="s">
        <v>621</v>
      </c>
      <c r="E14" s="56" t="s">
        <v>622</v>
      </c>
    </row>
    <row r="15" spans="1:5" ht="23.25" x14ac:dyDescent="0.45">
      <c r="A15" s="57" t="s">
        <v>623</v>
      </c>
      <c r="B15" s="59" t="s">
        <v>624</v>
      </c>
      <c r="C15" s="55" t="s">
        <v>625</v>
      </c>
      <c r="D15" s="55" t="s">
        <v>626</v>
      </c>
      <c r="E15" s="55" t="s">
        <v>627</v>
      </c>
    </row>
    <row r="16" spans="1:5" x14ac:dyDescent="0.45">
      <c r="A16" s="57" t="s">
        <v>628</v>
      </c>
      <c r="B16" s="58" t="s">
        <v>624</v>
      </c>
      <c r="C16" s="56" t="s">
        <v>629</v>
      </c>
      <c r="D16" s="56" t="s">
        <v>630</v>
      </c>
      <c r="E16" s="56" t="s">
        <v>631</v>
      </c>
    </row>
    <row r="17" spans="1:5" ht="23.25" x14ac:dyDescent="0.45">
      <c r="A17" s="57" t="s">
        <v>632</v>
      </c>
      <c r="B17" s="59" t="s">
        <v>585</v>
      </c>
      <c r="C17" s="55" t="s">
        <v>633</v>
      </c>
      <c r="D17" s="55" t="s">
        <v>634</v>
      </c>
      <c r="E17" s="55" t="s">
        <v>635</v>
      </c>
    </row>
    <row r="18" spans="1:5" ht="23.25" x14ac:dyDescent="0.45">
      <c r="A18" s="57" t="s">
        <v>636</v>
      </c>
      <c r="B18" s="58" t="s">
        <v>595</v>
      </c>
      <c r="C18" s="56" t="s">
        <v>637</v>
      </c>
      <c r="D18" s="56" t="s">
        <v>638</v>
      </c>
      <c r="E18" s="56" t="s">
        <v>639</v>
      </c>
    </row>
  </sheetData>
  <mergeCells count="3">
    <mergeCell ref="A1:E1"/>
    <mergeCell ref="A2:E2"/>
    <mergeCell ref="A3:E3"/>
  </mergeCells>
  <printOptions horizontalCentered="1"/>
  <pageMargins left="0.75" right="0.75" top="1" bottom="1" header="0.511811023622047" footer="0.511811023622047"/>
  <pageSetup fitToHeight="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11A43"/>
    <pageSetUpPr fitToPage="1"/>
  </sheetPr>
  <dimension ref="A1:G24"/>
  <sheetViews>
    <sheetView showGridLines="0" zoomScaleNormal="100" workbookViewId="0">
      <pane ySplit="5" topLeftCell="A6" activePane="bottomLeft" state="frozen"/>
      <selection pane="bottomLeft"/>
    </sheetView>
  </sheetViews>
  <sheetFormatPr defaultColWidth="8.6640625" defaultRowHeight="14.25" x14ac:dyDescent="0.45"/>
  <cols>
    <col min="1" max="1" width="16" customWidth="1"/>
    <col min="2" max="2" width="26" customWidth="1"/>
    <col min="3" max="3" width="42" customWidth="1"/>
    <col min="4" max="4" width="52" customWidth="1"/>
    <col min="5" max="6" width="14" customWidth="1"/>
    <col min="7" max="7" width="18" customWidth="1"/>
  </cols>
  <sheetData>
    <row r="1" spans="1:7" ht="30" customHeight="1" x14ac:dyDescent="0.45">
      <c r="A1" s="122" t="s">
        <v>640</v>
      </c>
      <c r="B1" s="122"/>
      <c r="C1" s="122"/>
      <c r="D1" s="122"/>
      <c r="E1" s="122"/>
      <c r="F1" s="122"/>
      <c r="G1" s="122"/>
    </row>
    <row r="2" spans="1:7" ht="18" customHeight="1" x14ac:dyDescent="0.45">
      <c r="A2" s="123" t="s">
        <v>641</v>
      </c>
      <c r="B2" s="123"/>
      <c r="C2" s="123"/>
      <c r="D2" s="123"/>
      <c r="E2" s="123"/>
      <c r="F2" s="123"/>
      <c r="G2" s="123"/>
    </row>
    <row r="3" spans="1:7" ht="21.75" customHeight="1" x14ac:dyDescent="0.45">
      <c r="A3" s="124" t="s">
        <v>642</v>
      </c>
      <c r="B3" s="124"/>
      <c r="C3" s="124"/>
      <c r="D3" s="124"/>
      <c r="E3" s="124"/>
      <c r="F3" s="124"/>
      <c r="G3" s="124"/>
    </row>
    <row r="5" spans="1:7" ht="31.5" customHeight="1" x14ac:dyDescent="0.45">
      <c r="A5" s="32" t="s">
        <v>643</v>
      </c>
      <c r="B5" s="32" t="s">
        <v>644</v>
      </c>
      <c r="C5" s="32" t="s">
        <v>645</v>
      </c>
      <c r="D5" s="32" t="s">
        <v>646</v>
      </c>
      <c r="E5" s="32" t="s">
        <v>647</v>
      </c>
      <c r="F5" s="32" t="s">
        <v>580</v>
      </c>
      <c r="G5" s="32" t="s">
        <v>648</v>
      </c>
    </row>
    <row r="6" spans="1:7" ht="33.75" customHeight="1" x14ac:dyDescent="0.45">
      <c r="A6" s="57" t="s">
        <v>649</v>
      </c>
      <c r="B6" s="42" t="s">
        <v>650</v>
      </c>
      <c r="C6" s="42" t="s">
        <v>651</v>
      </c>
      <c r="D6" s="42" t="s">
        <v>652</v>
      </c>
      <c r="E6" s="42" t="s">
        <v>653</v>
      </c>
      <c r="F6" s="60"/>
      <c r="G6" s="60"/>
    </row>
    <row r="7" spans="1:7" ht="33.75" customHeight="1" x14ac:dyDescent="0.45">
      <c r="A7" s="57" t="s">
        <v>654</v>
      </c>
      <c r="B7" s="48" t="s">
        <v>655</v>
      </c>
      <c r="C7" s="48" t="s">
        <v>656</v>
      </c>
      <c r="D7" s="48" t="s">
        <v>657</v>
      </c>
      <c r="E7" s="48" t="s">
        <v>658</v>
      </c>
      <c r="F7" s="60"/>
      <c r="G7" s="60"/>
    </row>
    <row r="8" spans="1:7" ht="33.75" customHeight="1" x14ac:dyDescent="0.45">
      <c r="A8" s="57" t="s">
        <v>659</v>
      </c>
      <c r="B8" s="42" t="s">
        <v>660</v>
      </c>
      <c r="C8" s="42" t="s">
        <v>661</v>
      </c>
      <c r="D8" s="42" t="s">
        <v>662</v>
      </c>
      <c r="E8" s="42" t="s">
        <v>663</v>
      </c>
      <c r="F8" s="60"/>
      <c r="G8" s="60"/>
    </row>
    <row r="9" spans="1:7" ht="33.75" customHeight="1" x14ac:dyDescent="0.45">
      <c r="A9" s="57" t="s">
        <v>664</v>
      </c>
      <c r="B9" s="48" t="s">
        <v>665</v>
      </c>
      <c r="C9" s="48" t="s">
        <v>666</v>
      </c>
      <c r="D9" s="48" t="s">
        <v>667</v>
      </c>
      <c r="E9" s="48" t="s">
        <v>668</v>
      </c>
      <c r="F9" s="60"/>
      <c r="G9" s="60"/>
    </row>
    <row r="10" spans="1:7" ht="33.75" customHeight="1" x14ac:dyDescent="0.45">
      <c r="A10" s="57" t="s">
        <v>669</v>
      </c>
      <c r="B10" s="42" t="s">
        <v>670</v>
      </c>
      <c r="C10" s="42" t="s">
        <v>671</v>
      </c>
      <c r="D10" s="42" t="s">
        <v>672</v>
      </c>
      <c r="E10" s="42" t="s">
        <v>673</v>
      </c>
      <c r="F10" s="60"/>
      <c r="G10" s="60"/>
    </row>
    <row r="11" spans="1:7" ht="33.75" customHeight="1" x14ac:dyDescent="0.45">
      <c r="A11" s="57" t="s">
        <v>674</v>
      </c>
      <c r="B11" s="48" t="s">
        <v>675</v>
      </c>
      <c r="C11" s="48" t="s">
        <v>676</v>
      </c>
      <c r="D11" s="48" t="s">
        <v>677</v>
      </c>
      <c r="E11" s="48" t="s">
        <v>678</v>
      </c>
      <c r="F11" s="60"/>
      <c r="G11" s="60"/>
    </row>
    <row r="12" spans="1:7" ht="33.75" customHeight="1" x14ac:dyDescent="0.45">
      <c r="A12" s="57" t="s">
        <v>679</v>
      </c>
      <c r="B12" s="42" t="s">
        <v>680</v>
      </c>
      <c r="C12" s="42" t="s">
        <v>681</v>
      </c>
      <c r="D12" s="42" t="s">
        <v>682</v>
      </c>
      <c r="E12" s="42" t="s">
        <v>683</v>
      </c>
      <c r="F12" s="60"/>
      <c r="G12" s="60"/>
    </row>
    <row r="13" spans="1:7" ht="33.75" customHeight="1" x14ac:dyDescent="0.45">
      <c r="A13" s="57" t="s">
        <v>684</v>
      </c>
      <c r="B13" s="48" t="s">
        <v>685</v>
      </c>
      <c r="C13" s="48" t="s">
        <v>686</v>
      </c>
      <c r="D13" s="48" t="s">
        <v>687</v>
      </c>
      <c r="E13" s="48" t="s">
        <v>688</v>
      </c>
      <c r="F13" s="60"/>
      <c r="G13" s="60"/>
    </row>
    <row r="14" spans="1:7" ht="33.75" customHeight="1" x14ac:dyDescent="0.45">
      <c r="A14" s="57" t="s">
        <v>689</v>
      </c>
      <c r="B14" s="42" t="s">
        <v>690</v>
      </c>
      <c r="C14" s="42" t="s">
        <v>691</v>
      </c>
      <c r="D14" s="42" t="s">
        <v>692</v>
      </c>
      <c r="E14" s="42" t="s">
        <v>693</v>
      </c>
      <c r="F14" s="60"/>
      <c r="G14" s="60"/>
    </row>
    <row r="15" spans="1:7" ht="33.75" customHeight="1" x14ac:dyDescent="0.45">
      <c r="A15" s="57" t="s">
        <v>694</v>
      </c>
      <c r="B15" s="48" t="s">
        <v>695</v>
      </c>
      <c r="C15" s="48" t="s">
        <v>696</v>
      </c>
      <c r="D15" s="48" t="s">
        <v>697</v>
      </c>
      <c r="E15" s="48" t="s">
        <v>698</v>
      </c>
      <c r="F15" s="60"/>
      <c r="G15" s="60"/>
    </row>
    <row r="16" spans="1:7" ht="33.75" customHeight="1" x14ac:dyDescent="0.45">
      <c r="A16" s="57" t="s">
        <v>699</v>
      </c>
      <c r="B16" s="42" t="s">
        <v>700</v>
      </c>
      <c r="C16" s="42" t="s">
        <v>701</v>
      </c>
      <c r="D16" s="42" t="s">
        <v>702</v>
      </c>
      <c r="E16" s="42" t="s">
        <v>569</v>
      </c>
      <c r="F16" s="60"/>
      <c r="G16" s="60"/>
    </row>
    <row r="17" spans="1:7" ht="33.75" customHeight="1" x14ac:dyDescent="0.45">
      <c r="A17" s="57" t="s">
        <v>699</v>
      </c>
      <c r="B17" s="48" t="s">
        <v>703</v>
      </c>
      <c r="C17" s="48" t="s">
        <v>704</v>
      </c>
      <c r="D17" s="48" t="s">
        <v>705</v>
      </c>
      <c r="E17" s="48" t="s">
        <v>569</v>
      </c>
      <c r="F17" s="60"/>
      <c r="G17" s="60"/>
    </row>
    <row r="18" spans="1:7" ht="33.75" customHeight="1" x14ac:dyDescent="0.45">
      <c r="A18" s="57" t="s">
        <v>706</v>
      </c>
      <c r="B18" s="42" t="s">
        <v>707</v>
      </c>
      <c r="C18" s="42" t="s">
        <v>708</v>
      </c>
      <c r="D18" s="42" t="s">
        <v>709</v>
      </c>
      <c r="E18" s="42" t="s">
        <v>653</v>
      </c>
      <c r="F18" s="60"/>
      <c r="G18" s="60"/>
    </row>
    <row r="19" spans="1:7" ht="33.75" customHeight="1" x14ac:dyDescent="0.45">
      <c r="A19" s="57" t="s">
        <v>706</v>
      </c>
      <c r="B19" s="48" t="s">
        <v>710</v>
      </c>
      <c r="C19" s="48" t="s">
        <v>711</v>
      </c>
      <c r="D19" s="48" t="s">
        <v>712</v>
      </c>
      <c r="E19" s="48" t="s">
        <v>713</v>
      </c>
      <c r="F19" s="60"/>
      <c r="G19" s="60"/>
    </row>
    <row r="20" spans="1:7" ht="33.75" customHeight="1" x14ac:dyDescent="0.45">
      <c r="A20" s="57" t="s">
        <v>706</v>
      </c>
      <c r="B20" s="42" t="s">
        <v>714</v>
      </c>
      <c r="C20" s="42" t="s">
        <v>715</v>
      </c>
      <c r="D20" s="42" t="s">
        <v>716</v>
      </c>
      <c r="E20" s="42" t="s">
        <v>717</v>
      </c>
      <c r="F20" s="60"/>
      <c r="G20" s="60"/>
    </row>
    <row r="21" spans="1:7" ht="33.75" customHeight="1" x14ac:dyDescent="0.45">
      <c r="A21" s="57" t="s">
        <v>718</v>
      </c>
      <c r="B21" s="48" t="s">
        <v>719</v>
      </c>
      <c r="C21" s="48" t="s">
        <v>720</v>
      </c>
      <c r="D21" s="48" t="s">
        <v>721</v>
      </c>
      <c r="E21" s="48" t="s">
        <v>722</v>
      </c>
      <c r="F21" s="60"/>
      <c r="G21" s="60"/>
    </row>
    <row r="22" spans="1:7" ht="33.75" customHeight="1" x14ac:dyDescent="0.45">
      <c r="A22" s="57" t="s">
        <v>723</v>
      </c>
      <c r="B22" s="42" t="s">
        <v>724</v>
      </c>
      <c r="C22" s="42" t="s">
        <v>725</v>
      </c>
      <c r="D22" s="42" t="s">
        <v>726</v>
      </c>
      <c r="E22" s="42" t="s">
        <v>727</v>
      </c>
      <c r="F22" s="60"/>
      <c r="G22" s="60"/>
    </row>
    <row r="23" spans="1:7" ht="33.75" customHeight="1" x14ac:dyDescent="0.45">
      <c r="A23" s="57" t="s">
        <v>728</v>
      </c>
      <c r="B23" s="48" t="s">
        <v>729</v>
      </c>
      <c r="C23" s="48" t="s">
        <v>730</v>
      </c>
      <c r="D23" s="48" t="s">
        <v>731</v>
      </c>
      <c r="E23" s="48" t="s">
        <v>732</v>
      </c>
      <c r="F23" s="60"/>
      <c r="G23" s="60"/>
    </row>
    <row r="24" spans="1:7" ht="33.75" customHeight="1" x14ac:dyDescent="0.45">
      <c r="A24" s="57" t="s">
        <v>733</v>
      </c>
      <c r="B24" s="42" t="s">
        <v>734</v>
      </c>
      <c r="C24" s="42" t="s">
        <v>735</v>
      </c>
      <c r="D24" s="42" t="s">
        <v>736</v>
      </c>
      <c r="E24" s="42" t="s">
        <v>497</v>
      </c>
      <c r="F24" s="60"/>
      <c r="G24" s="60"/>
    </row>
  </sheetData>
  <autoFilter ref="A5:G24" xr:uid="{00000000-0009-0000-0000-000007000000}"/>
  <mergeCells count="3">
    <mergeCell ref="A1:G1"/>
    <mergeCell ref="A2:G2"/>
    <mergeCell ref="A3:G3"/>
  </mergeCells>
  <conditionalFormatting sqref="F6:F24">
    <cfRule type="cellIs" dxfId="31" priority="2" operator="equal">
      <formula>"Complete"</formula>
    </cfRule>
    <cfRule type="cellIs" dxfId="30" priority="3" operator="equal">
      <formula>"In Progress"</formula>
    </cfRule>
  </conditionalFormatting>
  <dataValidations count="2">
    <dataValidation type="list" allowBlank="1" sqref="F6:F24" xr:uid="{00000000-0002-0000-0700-000000000000}">
      <formula1>"Not Started,In Progress,Complete,N/A"</formula1>
      <formula2>0</formula2>
    </dataValidation>
    <dataValidation type="list" allowBlank="1" sqref="G6:G24" xr:uid="{00000000-0002-0000-0700-000001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11A43"/>
    <pageSetUpPr fitToPage="1"/>
  </sheetPr>
  <dimension ref="A1:H22"/>
  <sheetViews>
    <sheetView showGridLines="0" zoomScaleNormal="100" workbookViewId="0">
      <pane ySplit="5" topLeftCell="A6" activePane="bottomLeft" state="frozen"/>
      <selection pane="bottomLeft"/>
    </sheetView>
  </sheetViews>
  <sheetFormatPr defaultColWidth="8.6640625" defaultRowHeight="14.25" x14ac:dyDescent="0.45"/>
  <cols>
    <col min="1" max="1" width="20" customWidth="1"/>
    <col min="2" max="2" width="14" customWidth="1"/>
    <col min="3" max="3" width="38" customWidth="1"/>
    <col min="4" max="4" width="24" customWidth="1"/>
    <col min="5" max="5" width="54" customWidth="1"/>
    <col min="6" max="6" width="14" customWidth="1"/>
    <col min="7" max="7" width="11" customWidth="1"/>
    <col min="8" max="8" width="14" customWidth="1"/>
  </cols>
  <sheetData>
    <row r="1" spans="1:8" ht="30" customHeight="1" x14ac:dyDescent="0.45">
      <c r="A1" s="122" t="s">
        <v>737</v>
      </c>
      <c r="B1" s="122"/>
      <c r="C1" s="122"/>
      <c r="D1" s="122"/>
      <c r="E1" s="122"/>
      <c r="F1" s="122"/>
      <c r="G1" s="122"/>
      <c r="H1" s="122"/>
    </row>
    <row r="2" spans="1:8" ht="18" customHeight="1" x14ac:dyDescent="0.45">
      <c r="A2" s="123" t="s">
        <v>738</v>
      </c>
      <c r="B2" s="123"/>
      <c r="C2" s="123"/>
      <c r="D2" s="123"/>
      <c r="E2" s="123"/>
      <c r="F2" s="123"/>
      <c r="G2" s="123"/>
      <c r="H2" s="123"/>
    </row>
    <row r="3" spans="1:8" ht="21.75" customHeight="1" x14ac:dyDescent="0.45">
      <c r="A3" s="124" t="s">
        <v>739</v>
      </c>
      <c r="B3" s="124"/>
      <c r="C3" s="124"/>
      <c r="D3" s="124"/>
      <c r="E3" s="124"/>
      <c r="F3" s="124"/>
      <c r="G3" s="124"/>
      <c r="H3" s="124"/>
    </row>
    <row r="5" spans="1:8" ht="31.5" customHeight="1" x14ac:dyDescent="0.45">
      <c r="A5" s="32" t="s">
        <v>740</v>
      </c>
      <c r="B5" s="32" t="s">
        <v>163</v>
      </c>
      <c r="C5" s="32" t="s">
        <v>164</v>
      </c>
      <c r="D5" s="32" t="s">
        <v>165</v>
      </c>
      <c r="E5" s="32" t="s">
        <v>741</v>
      </c>
      <c r="F5" s="32" t="s">
        <v>647</v>
      </c>
      <c r="G5" s="32" t="s">
        <v>742</v>
      </c>
      <c r="H5" s="32" t="s">
        <v>580</v>
      </c>
    </row>
    <row r="6" spans="1:8" ht="31.5" customHeight="1" x14ac:dyDescent="0.45">
      <c r="A6" s="57" t="s">
        <v>743</v>
      </c>
      <c r="B6" s="42" t="s">
        <v>744</v>
      </c>
      <c r="C6" s="42" t="s">
        <v>745</v>
      </c>
      <c r="D6" s="42" t="s">
        <v>746</v>
      </c>
      <c r="E6" s="42" t="s">
        <v>747</v>
      </c>
      <c r="F6" s="42" t="s">
        <v>748</v>
      </c>
      <c r="G6" s="60"/>
      <c r="H6" s="60"/>
    </row>
    <row r="7" spans="1:8" ht="31.5" customHeight="1" x14ac:dyDescent="0.45">
      <c r="A7" s="57" t="s">
        <v>743</v>
      </c>
      <c r="B7" s="48" t="s">
        <v>749</v>
      </c>
      <c r="C7" s="48" t="s">
        <v>750</v>
      </c>
      <c r="D7" s="48" t="s">
        <v>746</v>
      </c>
      <c r="E7" s="48" t="s">
        <v>751</v>
      </c>
      <c r="F7" s="48" t="s">
        <v>752</v>
      </c>
      <c r="G7" s="60"/>
      <c r="H7" s="60"/>
    </row>
    <row r="8" spans="1:8" ht="31.5" customHeight="1" x14ac:dyDescent="0.45">
      <c r="A8" s="57" t="s">
        <v>743</v>
      </c>
      <c r="B8" s="42" t="s">
        <v>753</v>
      </c>
      <c r="C8" s="42" t="s">
        <v>754</v>
      </c>
      <c r="D8" s="42" t="s">
        <v>175</v>
      </c>
      <c r="E8" s="42" t="s">
        <v>755</v>
      </c>
      <c r="F8" s="42" t="s">
        <v>756</v>
      </c>
      <c r="G8" s="60"/>
      <c r="H8" s="60"/>
    </row>
    <row r="9" spans="1:8" ht="31.5" customHeight="1" x14ac:dyDescent="0.45">
      <c r="A9" s="57" t="s">
        <v>743</v>
      </c>
      <c r="B9" s="48" t="s">
        <v>247</v>
      </c>
      <c r="C9" s="48" t="s">
        <v>757</v>
      </c>
      <c r="D9" s="48" t="s">
        <v>758</v>
      </c>
      <c r="E9" s="48" t="s">
        <v>759</v>
      </c>
      <c r="F9" s="48" t="s">
        <v>760</v>
      </c>
      <c r="G9" s="60"/>
      <c r="H9" s="60"/>
    </row>
    <row r="10" spans="1:8" ht="31.5" customHeight="1" x14ac:dyDescent="0.45">
      <c r="A10" s="57" t="s">
        <v>743</v>
      </c>
      <c r="B10" s="42" t="s">
        <v>285</v>
      </c>
      <c r="C10" s="42" t="s">
        <v>761</v>
      </c>
      <c r="D10" s="42" t="s">
        <v>762</v>
      </c>
      <c r="E10" s="42" t="s">
        <v>763</v>
      </c>
      <c r="F10" s="42" t="s">
        <v>764</v>
      </c>
      <c r="G10" s="60"/>
      <c r="H10" s="60"/>
    </row>
    <row r="11" spans="1:8" ht="31.5" customHeight="1" x14ac:dyDescent="0.45">
      <c r="A11" s="57" t="s">
        <v>765</v>
      </c>
      <c r="B11" s="48" t="s">
        <v>744</v>
      </c>
      <c r="C11" s="48" t="s">
        <v>766</v>
      </c>
      <c r="D11" s="48" t="s">
        <v>767</v>
      </c>
      <c r="E11" s="48" t="s">
        <v>768</v>
      </c>
      <c r="F11" s="48" t="s">
        <v>769</v>
      </c>
      <c r="G11" s="60"/>
      <c r="H11" s="60"/>
    </row>
    <row r="12" spans="1:8" ht="31.5" customHeight="1" x14ac:dyDescent="0.45">
      <c r="A12" s="57" t="s">
        <v>765</v>
      </c>
      <c r="B12" s="42" t="s">
        <v>744</v>
      </c>
      <c r="C12" s="42" t="s">
        <v>770</v>
      </c>
      <c r="D12" s="42" t="s">
        <v>175</v>
      </c>
      <c r="E12" s="42" t="s">
        <v>771</v>
      </c>
      <c r="F12" s="42" t="s">
        <v>772</v>
      </c>
      <c r="G12" s="60"/>
      <c r="H12" s="60"/>
    </row>
    <row r="13" spans="1:8" ht="31.5" customHeight="1" x14ac:dyDescent="0.45">
      <c r="A13" s="57" t="s">
        <v>765</v>
      </c>
      <c r="B13" s="48" t="s">
        <v>773</v>
      </c>
      <c r="C13" s="48" t="s">
        <v>774</v>
      </c>
      <c r="D13" s="48" t="s">
        <v>775</v>
      </c>
      <c r="E13" s="48" t="s">
        <v>776</v>
      </c>
      <c r="F13" s="48" t="s">
        <v>777</v>
      </c>
      <c r="G13" s="60"/>
      <c r="H13" s="60"/>
    </row>
    <row r="14" spans="1:8" ht="31.5" customHeight="1" x14ac:dyDescent="0.45">
      <c r="A14" s="57" t="s">
        <v>765</v>
      </c>
      <c r="B14" s="42" t="s">
        <v>753</v>
      </c>
      <c r="C14" s="42" t="s">
        <v>778</v>
      </c>
      <c r="D14" s="42" t="s">
        <v>175</v>
      </c>
      <c r="E14" s="42" t="s">
        <v>779</v>
      </c>
      <c r="F14" s="42" t="s">
        <v>548</v>
      </c>
      <c r="G14" s="60"/>
      <c r="H14" s="60"/>
    </row>
    <row r="15" spans="1:8" ht="31.5" customHeight="1" x14ac:dyDescent="0.45">
      <c r="A15" s="57" t="s">
        <v>780</v>
      </c>
      <c r="B15" s="48" t="s">
        <v>744</v>
      </c>
      <c r="C15" s="48" t="s">
        <v>781</v>
      </c>
      <c r="D15" s="48" t="s">
        <v>782</v>
      </c>
      <c r="E15" s="48" t="s">
        <v>783</v>
      </c>
      <c r="F15" s="48" t="s">
        <v>784</v>
      </c>
      <c r="G15" s="60"/>
      <c r="H15" s="60"/>
    </row>
    <row r="16" spans="1:8" ht="31.5" customHeight="1" x14ac:dyDescent="0.45">
      <c r="A16" s="57" t="s">
        <v>780</v>
      </c>
      <c r="B16" s="42" t="s">
        <v>285</v>
      </c>
      <c r="C16" s="42" t="s">
        <v>785</v>
      </c>
      <c r="D16" s="42" t="s">
        <v>762</v>
      </c>
      <c r="E16" s="42" t="s">
        <v>786</v>
      </c>
      <c r="F16" s="42" t="s">
        <v>447</v>
      </c>
      <c r="G16" s="60"/>
      <c r="H16" s="60"/>
    </row>
    <row r="17" spans="1:8" ht="31.5" customHeight="1" x14ac:dyDescent="0.45">
      <c r="A17" s="57" t="s">
        <v>787</v>
      </c>
      <c r="B17" s="48" t="s">
        <v>788</v>
      </c>
      <c r="C17" s="48" t="s">
        <v>789</v>
      </c>
      <c r="D17" s="48" t="s">
        <v>175</v>
      </c>
      <c r="E17" s="48" t="s">
        <v>790</v>
      </c>
      <c r="F17" s="48" t="s">
        <v>791</v>
      </c>
      <c r="G17" s="60"/>
      <c r="H17" s="60"/>
    </row>
    <row r="18" spans="1:8" ht="31.5" customHeight="1" x14ac:dyDescent="0.45">
      <c r="A18" s="57" t="s">
        <v>787</v>
      </c>
      <c r="B18" s="42" t="s">
        <v>792</v>
      </c>
      <c r="C18" s="42" t="s">
        <v>793</v>
      </c>
      <c r="D18" s="42" t="s">
        <v>175</v>
      </c>
      <c r="E18" s="42" t="s">
        <v>794</v>
      </c>
      <c r="F18" s="42" t="s">
        <v>795</v>
      </c>
      <c r="G18" s="60"/>
      <c r="H18" s="60"/>
    </row>
    <row r="19" spans="1:8" ht="31.5" customHeight="1" x14ac:dyDescent="0.45">
      <c r="A19" s="57" t="s">
        <v>787</v>
      </c>
      <c r="B19" s="48" t="s">
        <v>796</v>
      </c>
      <c r="C19" s="48" t="s">
        <v>797</v>
      </c>
      <c r="D19" s="48" t="s">
        <v>175</v>
      </c>
      <c r="E19" s="48" t="s">
        <v>798</v>
      </c>
      <c r="F19" s="48" t="s">
        <v>799</v>
      </c>
      <c r="G19" s="60"/>
      <c r="H19" s="60"/>
    </row>
    <row r="20" spans="1:8" ht="31.5" customHeight="1" x14ac:dyDescent="0.45">
      <c r="A20" s="57" t="s">
        <v>800</v>
      </c>
      <c r="B20" s="42" t="s">
        <v>744</v>
      </c>
      <c r="C20" s="42" t="s">
        <v>801</v>
      </c>
      <c r="D20" s="42" t="s">
        <v>175</v>
      </c>
      <c r="E20" s="42" t="s">
        <v>802</v>
      </c>
      <c r="F20" s="42" t="s">
        <v>803</v>
      </c>
      <c r="G20" s="60"/>
      <c r="H20" s="60"/>
    </row>
    <row r="21" spans="1:8" ht="31.5" customHeight="1" x14ac:dyDescent="0.45">
      <c r="A21" s="57" t="s">
        <v>804</v>
      </c>
      <c r="B21" s="48" t="s">
        <v>744</v>
      </c>
      <c r="C21" s="48" t="s">
        <v>805</v>
      </c>
      <c r="D21" s="48" t="s">
        <v>806</v>
      </c>
      <c r="E21" s="48" t="s">
        <v>807</v>
      </c>
      <c r="F21" s="48" t="s">
        <v>808</v>
      </c>
      <c r="G21" s="60"/>
      <c r="H21" s="60"/>
    </row>
    <row r="22" spans="1:8" ht="31.5" customHeight="1" x14ac:dyDescent="0.45">
      <c r="A22" s="57" t="s">
        <v>809</v>
      </c>
      <c r="B22" s="42" t="s">
        <v>810</v>
      </c>
      <c r="C22" s="42" t="s">
        <v>811</v>
      </c>
      <c r="D22" s="42" t="s">
        <v>175</v>
      </c>
      <c r="E22" s="42" t="s">
        <v>812</v>
      </c>
      <c r="F22" s="42" t="s">
        <v>813</v>
      </c>
      <c r="G22" s="60"/>
      <c r="H22" s="60"/>
    </row>
  </sheetData>
  <autoFilter ref="A5:H22" xr:uid="{00000000-0009-0000-0000-000008000000}"/>
  <mergeCells count="3">
    <mergeCell ref="A1:H1"/>
    <mergeCell ref="A2:H2"/>
    <mergeCell ref="A3:H3"/>
  </mergeCells>
  <conditionalFormatting sqref="G6:G22">
    <cfRule type="cellIs" dxfId="29" priority="2" operator="equal">
      <formula>"Yes"</formula>
    </cfRule>
  </conditionalFormatting>
  <dataValidations count="2">
    <dataValidation type="list" allowBlank="1" sqref="G6:G22" xr:uid="{00000000-0002-0000-0800-000000000000}">
      <formula1>"Yes,No"</formula1>
      <formula2>0</formula2>
    </dataValidation>
    <dataValidation type="list" allowBlank="1" sqref="H6:H22" xr:uid="{00000000-0002-0000-0800-000001000000}">
      <formula1>"Not Started,In Progress,Complete,N/A"</formula1>
      <formula2>0</formula2>
    </dataValidation>
  </dataValidations>
  <printOptions horizontalCentered="1"/>
  <pageMargins left="0.75" right="0.75" top="1" bottom="1"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27</vt:i4>
      </vt:variant>
      <vt:variant>
        <vt:lpstr>Named Ranges</vt:lpstr>
      </vt:variant>
      <vt:variant>
        <vt:i4>2</vt:i4>
      </vt:variant>
    </vt:vector>
  </HeadingPairs>
  <TitlesOfParts>
    <vt:vector size="29" baseType="lpstr">
      <vt:lpstr>Start Here</vt:lpstr>
      <vt:lpstr>Command Center</vt:lpstr>
      <vt:lpstr>1. AI Systems</vt:lpstr>
      <vt:lpstr>2. Jurisdiction Atlas</vt:lpstr>
      <vt:lpstr>3. Navigator</vt:lpstr>
      <vt:lpstr>4. Crosswalk</vt:lpstr>
      <vt:lpstr>5. ISO AI Family</vt:lpstr>
      <vt:lpstr>6. Technical Controls</vt:lpstr>
      <vt:lpstr>7. Sector Overlays</vt:lpstr>
      <vt:lpstr>8. Checklist</vt:lpstr>
      <vt:lpstr>9. Gap Report</vt:lpstr>
      <vt:lpstr>10. Owner View</vt:lpstr>
      <vt:lpstr>11. Risk Register</vt:lpstr>
      <vt:lpstr>12. Impact Assessment</vt:lpstr>
      <vt:lpstr>13. Statement of Applicability</vt:lpstr>
      <vt:lpstr>14. Incident Log</vt:lpstr>
      <vt:lpstr>15. Vendor Register</vt:lpstr>
      <vt:lpstr>16. Training Records</vt:lpstr>
      <vt:lpstr>17. Model Cards</vt:lpstr>
      <vt:lpstr>18. RACI</vt:lpstr>
      <vt:lpstr>19. Evidence Register</vt:lpstr>
      <vt:lpstr>20. Maturity</vt:lpstr>
      <vt:lpstr>21. Board Pack</vt:lpstr>
      <vt:lpstr>22. Roadmap</vt:lpstr>
      <vt:lpstr>23. Glossary</vt:lpstr>
      <vt:lpstr>24. Config</vt:lpstr>
      <vt:lpstr>25. Version Log</vt:lpstr>
      <vt:lpstr>Annex3List</vt:lpstr>
      <vt:lpstr>OwnerList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Enterprise AI Governance Toolkit v1.0</dc:title>
  <dc:subject>AI governance: EU AI Act, NIST AI RMF, ISO/IEC 42001 and global regimes</dc:subject>
  <dc:creator>Prashant Akhawat</dc:creator>
  <cp:keywords>AI governance EU AI Act NIST AI RMF ISO 42001 AI compliance AI risk</cp:keywords>
  <dc:description>Living operational toolkit. Jurisdictions verified August 2026. Latest version at akhawat.com/toolkits. Not for resale or white-labelling without permission.</dc:description>
  <cp:lastModifiedBy>Prashant Akhawat</cp:lastModifiedBy>
  <cp:revision>1</cp:revision>
  <dcterms:created xsi:type="dcterms:W3CDTF">2026-08-02T05:44:06Z</dcterms:created>
  <dcterms:modified xsi:type="dcterms:W3CDTF">2026-08-02T06:49:11Z</dcterms:modified>
  <dc:language>en-US</dc:language>
</cp:coreProperties>
</file>